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6pRvat3+VzmFNFopqTr4LWTFyCbLnakLn60VXg5Z67Jm6BCCE5gFHdeRo4K9NvQ/4HVzqe0U4+KJvbsepZkubQ==" workbookSaltValue="WDi4Tg5+8OLZgM3yANko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AP15" i="20"/>
  <c r="R17" i="20"/>
  <c r="R18" i="20" s="1"/>
  <c r="AZ9" i="11"/>
  <c r="AZ13" i="11" s="1"/>
  <c r="AZ15" i="11"/>
  <c r="AZ18" i="11" s="1"/>
  <c r="BV17" i="16"/>
  <c r="BV12" i="16"/>
  <c r="BV11" i="16"/>
  <c r="U10" i="17"/>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U9" i="17"/>
  <c r="U19" i="17" s="1"/>
  <c r="V10" i="16"/>
  <c r="L9" i="2"/>
  <c r="AP13" i="16"/>
  <c r="V9" i="16"/>
  <c r="T18" i="17"/>
  <c r="BG15" i="13"/>
  <c r="BE16" i="13"/>
  <c r="BE15" i="13"/>
  <c r="AX20" i="20"/>
  <c r="S19" i="8" l="1"/>
  <c r="AB13" i="21"/>
  <c r="BG10" i="8"/>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BW11" i="20"/>
  <c r="BW12" i="20"/>
  <c r="BU10" i="17"/>
  <c r="BU11" i="17"/>
  <c r="AP17" i="20"/>
  <c r="BK17" i="11"/>
  <c r="BG15" i="11"/>
  <c r="BJ12" i="11"/>
  <c r="BM12" i="11"/>
  <c r="BF10" i="11"/>
  <c r="BM16" i="11"/>
  <c r="BH11" i="16"/>
  <c r="AL16" i="11"/>
  <c r="C16" i="6"/>
  <c r="BE9" i="13"/>
  <c r="BV10" i="16"/>
  <c r="BU9" i="17"/>
  <c r="BW15" i="20"/>
  <c r="BV15" i="16"/>
  <c r="BW16" i="20"/>
  <c r="BV16" i="16"/>
  <c r="BW17" i="20"/>
  <c r="BW9" i="20"/>
  <c r="BU15" i="17"/>
  <c r="T15" i="16"/>
  <c r="T17" i="16"/>
  <c r="BM15" i="11"/>
  <c r="BH17" i="11"/>
  <c r="BL11" i="11"/>
  <c r="BG9" i="11"/>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<sst xmlns="http://schemas.openxmlformats.org/spreadsheetml/2006/main" count="2102" uniqueCount="918">
  <si>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</si>
  <si>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</si>
  <si>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</si>
  <si>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</si>
  <si>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</si>
  <si>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</si>
  <si>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</si>
  <si>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</si>
  <si>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</si>
  <si>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</si>
  <si>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</si>
  <si>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</si>
  <si>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</si>
  <si>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</si>
  <si>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</si>
  <si>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</si>
  <si>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</si>
  <si>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</si>
  <si>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</si>
  <si>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</si>
  <si>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</si>
  <si>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</si>
  <si>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</si>
  <si>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</si>
  <si>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</si>
  <si>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</si>
  <si>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</si>
  <si>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</si>
  <si>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</si>
  <si>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</si>
  <si>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</si>
  <si>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</si>
  <si>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</si>
  <si>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</si>
  <si>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</si>
  <si>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</si>
  <si>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</si>
  <si>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</si>
  <si>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</si>
  <si>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</si>
  <si>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</si>
  <si>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</si>
  <si>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</si>
  <si>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</si>
  <si>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</si>
  <si>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</si>
  <si>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</si>
  <si>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</si>
  <si>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</si>
  <si>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</si>
  <si>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</si>
  <si>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</si>
  <si>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</si>
  <si>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</si>
  <si>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</si>
  <si>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</si>
  <si>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</si>
  <si>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</si>
  <si>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</si>
  <si>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</si>
  <si>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</si>
  <si>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</si>
  <si>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</si>
  <si>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</si>
  <si>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</si>
  <si>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</si>
  <si>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</si>
  <si>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</si>
  <si>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</si>
  <si>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</si>
  <si>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</si>
  <si>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</si>
  <si>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</si>
  <si>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</si>
  <si>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</si>
  <si>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</si>
  <si>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</si>
  <si>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</si>
  <si>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</si>
  <si>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</si>
  <si>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</si>
  <si>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</si>
  <si>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</si>
  <si>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</si>
  <si>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</si>
  <si>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</si>
  <si>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</si>
  <si>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</si>
  <si>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</si>
  <si>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</si>
  <si>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</si>
  <si>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</si>
  <si>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</si>
  <si>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</si>
  <si>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</si>
  <si>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</si>
  <si>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</si>
  <si>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</si>
  <si>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</si>
  <si>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</si>
  <si>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</si>
  <si>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</si>
  <si>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</si>
  <si>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</si>
  <si>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</si>
  <si>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</si>
  <si>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</si>
  <si>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</si>
  <si>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</si>
  <si>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</si>
  <si>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</si>
  <si>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</si>
  <si>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</si>
  <si>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</si>
  <si>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</si>
  <si>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</si>
  <si>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</si>
  <si>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</si>
  <si>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</si>
  <si>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</si>
  <si>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</si>
  <si>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</si>
  <si>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</si>
  <si>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</si>
  <si>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</si>
  <si>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</si>
  <si>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</si>
  <si>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</si>
  <si>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</si>
  <si>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</si>
  <si>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</si>
  <si>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</si>
  <si>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</si>
  <si>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</si>
  <si>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</si>
  <si>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</si>
  <si>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</si>
  <si>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</si>
  <si>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</si>
  <si>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</si>
  <si>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</si>
  <si>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</si>
  <si>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</si>
  <si>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</si>
  <si>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</si>
  <si>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</si>
  <si>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</si>
  <si>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</si>
  <si>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</si>
  <si>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</si>
  <si>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</si>
  <si>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</si>
  <si>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</si>
  <si>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</si>
  <si>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</si>
  <si>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</si>
  <si>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</si>
  <si>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</si>
  <si>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</si>
  <si>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</si>
  <si>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</si>
  <si>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</si>
  <si>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</si>
  <si>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</si>
  <si>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</si>
  <si>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</si>
  <si>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</si>
  <si>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</si>
  <si>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</si>
  <si>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</si>
  <si>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</si>
  <si>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</si>
  <si>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</si>
  <si>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</si>
  <si>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</si>
  <si>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</si>
  <si>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</si>
  <si>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</si>
  <si>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</si>
  <si>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</si>
  <si>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</si>
  <si>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</si>
  <si>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</si>
  <si>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</si>
  <si>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</si>
  <si>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</si>
  <si>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</si>
  <si>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</si>
  <si>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</si>
  <si>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</si>
  <si>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</si>
  <si>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</si>
  <si>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</si>
  <si>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</si>
  <si>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</si>
  <si>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</si>
  <si>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</si>
  <si>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</si>
  <si>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</si>
  <si>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</si>
  <si>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</si>
  <si>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</si>
  <si>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</si>
  <si>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</si>
  <si>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</si>
  <si>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</si>
  <si>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</si>
  <si>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</si>
  <si>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</si>
  <si>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</si>
  <si>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</si>
  <si>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</si>
  <si>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</si>
  <si>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</si>
  <si>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</si>
  <si>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</si>
  <si>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</si>
  <si>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</si>
  <si>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</si>
  <si>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</si>
  <si>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</si>
  <si>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</si>
  <si>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</si>
  <si>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</si>
  <si>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</si>
  <si>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</si>
  <si>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</si>
  <si>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</si>
  <si>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</si>
  <si>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</si>
  <si>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</si>
  <si>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</si>
  <si>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</si>
  <si>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</si>
  <si>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</si>
  <si>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</si>
  <si>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</si>
  <si>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</si>
  <si>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</si>
  <si>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</si>
  <si>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</si>
  <si>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</si>
  <si>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</si>
  <si>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</si>
  <si>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</si>
  <si>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</si>
  <si>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</si>
  <si>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</si>
  <si>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</si>
  <si>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</si>
  <si>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</si>
  <si>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</si>
  <si>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</si>
  <si>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</si>
  <si>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</si>
  <si>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</si>
  <si>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</si>
  <si>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</si>
  <si>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</si>
  <si>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</si>
  <si>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</si>
  <si>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</si>
  <si>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</si>
  <si>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</si>
  <si>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</si>
  <si>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</si>
  <si>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</si>
  <si>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</si>
  <si>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</si>
  <si>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</si>
  <si>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</si>
  <si>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</si>
  <si>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</si>
  <si>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</si>
  <si>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</si>
  <si>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</si>
  <si>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</si>
  <si>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</si>
  <si>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</si>
  <si>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</si>
  <si>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</si>
  <si>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</si>
  <si>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</si>
  <si>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</si>
  <si>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</si>
  <si>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</si>
  <si>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</si>
  <si>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</si>
  <si>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</si>
  <si>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</si>
  <si>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</si>
  <si>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</si>
  <si>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</si>
  <si>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</si>
  <si>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</si>
  <si>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</si>
  <si>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</si>
  <si>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</si>
  <si>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</si>
  <si>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</si>
  <si>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</si>
  <si>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</si>
  <si>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</si>
  <si>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</si>
  <si>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</si>
  <si>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</si>
  <si>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</si>
  <si>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</si>
  <si>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</si>
  <si>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</si>
  <si>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</si>
  <si>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</si>
  <si>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</si>
  <si>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</si>
  <si>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</si>
  <si>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</si>
  <si>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</si>
  <si>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</si>
  <si>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</si>
  <si>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</si>
  <si>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</si>
  <si>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</si>
  <si>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</si>
  <si>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</si>
  <si>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</si>
  <si>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</si>
  <si>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</si>
  <si>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</si>
  <si>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</si>
  <si>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</si>
  <si>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</si>
  <si>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</si>
  <si>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</si>
  <si>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</si>
  <si>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</si>
  <si>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</si>
  <si>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</si>
  <si>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</si>
  <si>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</si>
  <si>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</si>
  <si>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</si>
  <si>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</si>
  <si>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</si>
  <si>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</si>
  <si>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</si>
  <si>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</si>
  <si>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</si>
  <si>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</si>
  <si>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</si>
  <si>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</si>
  <si>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</si>
  <si>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</si>
  <si>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</si>
  <si>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</si>
  <si>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</si>
  <si>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</si>
  <si>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</si>
  <si>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</si>
  <si>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</si>
  <si>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</si>
  <si>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</si>
  <si>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</si>
  <si>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</si>
  <si>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</si>
  <si>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</si>
  <si>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</si>
  <si>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</si>
  <si>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</si>
  <si>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</si>
  <si>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</si>
  <si>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</si>
  <si>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</si>
  <si>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</si>
  <si>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</si>
  <si>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</si>
  <si>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</si>
  <si>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</si>
  <si>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</si>
  <si>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</si>
  <si>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</si>
  <si>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</si>
  <si>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</si>
  <si>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</si>
  <si>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</si>
  <si>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</si>
  <si>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</si>
  <si>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</si>
  <si>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</si>
  <si>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</si>
  <si>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</si>
  <si>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</si>
  <si>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</si>
  <si>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</si>
  <si>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</si>
  <si>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</si>
  <si>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</si>
  <si>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</si>
  <si>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</si>
  <si>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</si>
  <si>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</si>
  <si>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</si>
  <si>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</si>
  <si>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</si>
  <si>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</si>
  <si>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</si>
  <si>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</si>
  <si>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</si>
  <si>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</si>
  <si>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</si>
  <si>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</si>
  <si>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</si>
  <si>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</si>
  <si>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</si>
  <si>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</si>
  <si>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</si>
  <si>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</si>
  <si>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</si>
  <si>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</si>
  <si>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</si>
  <si>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</si>
  <si>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</si>
  <si>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</si>
  <si>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</si>
  <si>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</si>
  <si>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</si>
  <si>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</si>
  <si>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</si>
  <si>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</si>
  <si>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</si>
  <si>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</si>
  <si>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</si>
  <si>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</si>
  <si>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</si>
  <si>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</si>
  <si>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</si>
  <si>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</si>
  <si>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</si>
  <si>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</si>
  <si>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</si>
  <si>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</si>
  <si>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</si>
  <si>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</si>
  <si>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</si>
  <si>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</si>
  <si>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</si>
  <si>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</si>
  <si>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</si>
  <si>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</si>
  <si>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</si>
  <si>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</si>
  <si>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</si>
  <si>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</si>
  <si>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</si>
  <si>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</si>
  <si>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</si>
  <si>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</si>
  <si>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</si>
  <si>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</si>
  <si>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</si>
  <si>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</si>
  <si>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</si>
  <si>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</si>
  <si>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</si>
  <si>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</si>
  <si>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</si>
  <si>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</si>
  <si>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</si>
  <si>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</si>
  <si>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</si>
  <si>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</si>
  <si>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</si>
  <si>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</si>
  <si>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</si>
  <si>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</si>
  <si>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</si>
  <si>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</si>
  <si>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</si>
  <si>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</si>
  <si>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</si>
  <si>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</si>
  <si>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</si>
  <si>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</si>
  <si>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</si>
  <si>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</si>
  <si>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</si>
  <si>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</si>
  <si>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</si>
  <si>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</si>
  <si>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</si>
  <si>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</si>
  <si>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</si>
  <si>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</si>
  <si>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</si>
  <si>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</si>
  <si>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</si>
  <si>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</si>
  <si>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</si>
  <si>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</si>
  <si>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</si>
  <si>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</si>
  <si>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</si>
  <si>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</si>
  <si>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</si>
  <si>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</si>
  <si>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</si>
  <si>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</si>
  <si>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</si>
  <si>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</si>
  <si>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</si>
  <si>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</si>
  <si>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</si>
  <si>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</si>
  <si>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</si>
  <si>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</si>
  <si>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</si>
  <si>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</si>
  <si>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</si>
  <si>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</si>
  <si>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</si>
  <si>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</si>
  <si>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</si>
  <si>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</si>
  <si>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</si>
  <si>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</si>
  <si>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</si>
  <si>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</si>
  <si>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</si>
  <si>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</si>
  <si>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</si>
  <si>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</si>
  <si>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</si>
  <si>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</si>
  <si>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</si>
  <si>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</si>
  <si>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</si>
  <si>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</si>
  <si>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</si>
  <si>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</si>
  <si>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</si>
  <si>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</si>
  <si>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</si>
  <si>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</si>
  <si>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</si>
  <si>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</si>
  <si>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</si>
  <si>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</si>
  <si>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</si>
  <si>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</si>
  <si>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</si>
  <si>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</si>
  <si>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</si>
  <si>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</si>
  <si>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</si>
  <si>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</si>
  <si>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</si>
  <si>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</si>
  <si>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</si>
  <si>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</si>
  <si>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</si>
  <si>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</si>
  <si>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</si>
  <si>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</si>
  <si>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</si>
  <si>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</si>
  <si>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</si>
  <si>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</si>
  <si>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</si>
  <si>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</si>
  <si>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</si>
  <si>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</si>
  <si>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</si>
  <si>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</si>
  <si>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</si>
  <si>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</si>
  <si>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</si>
  <si>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</si>
  <si>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</si>
  <si>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</si>
  <si>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</si>
  <si>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</si>
  <si>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</si>
  <si>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</si>
  <si>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</si>
  <si>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</si>
  <si>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</si>
  <si>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</si>
  <si>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</si>
  <si>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</si>
  <si>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</si>
  <si>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</si>
  <si>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</si>
  <si>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</si>
  <si>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</si>
  <si>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</si>
  <si>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</si>
  <si>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</si>
  <si>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</si>
  <si>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</si>
  <si>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</si>
  <si>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</si>
  <si>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</si>
  <si>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</si>
  <si>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</si>
  <si>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</si>
  <si>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</si>
  <si>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</si>
  <si>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</si>
  <si>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</si>
  <si>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</si>
  <si>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</si>
  <si>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</si>
  <si>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</si>
  <si>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</si>
  <si>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</si>
  <si>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</si>
  <si>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</si>
  <si>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</si>
  <si>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</si>
  <si>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</si>
  <si>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</si>
  <si>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</si>
  <si>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</si>
  <si>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</si>
  <si>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</si>
  <si>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</si>
  <si>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</si>
  <si>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</si>
  <si>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</si>
  <si>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</si>
  <si>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</si>
  <si>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</si>
  <si>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</si>
  <si>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</si>
  <si>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</si>
  <si>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</si>
  <si>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</si>
  <si>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</si>
  <si>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</si>
  <si>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</si>
  <si>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</si>
  <si>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</si>
  <si>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</si>
  <si>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</si>
  <si>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</si>
  <si>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</si>
  <si>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</si>
  <si>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</si>
  <si>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</si>
  <si>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</si>
  <si>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</si>
  <si>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</si>
  <si>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</si>
  <si>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</si>
  <si>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</si>
  <si>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</si>
  <si>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</si>
  <si>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</si>
  <si>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</si>
  <si>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</si>
  <si>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</si>
  <si>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</si>
  <si>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</si>
  <si>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</si>
  <si>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</si>
  <si>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</si>
  <si>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</si>
  <si>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</si>
  <si>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</si>
  <si>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</si>
  <si>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</si>
  <si>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</si>
  <si>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</si>
  <si>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</si>
  <si>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</si>
  <si>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</si>
  <si>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</si>
  <si>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</si>
  <si>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</si>
  <si>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</si>
  <si>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</si>
  <si>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</si>
  <si>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</si>
  <si>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</si>
  <si>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</si>
  <si>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</si>
  <si>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</si>
  <si>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</si>
  <si>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</si>
  <si>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</si>
  <si>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</si>
  <si>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</si>
  <si>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</si>
  <si>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</si>
  <si>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</si>
  <si>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</si>
  <si>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</si>
  <si>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</si>
  <si>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</si>
  <si>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</si>
  <si>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</si>
  <si>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</si>
  <si>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</si>
  <si>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</si>
  <si>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</si>
  <si>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</si>
  <si>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</si>
  <si>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</si>
  <si>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</si>
  <si>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</si>
  <si>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</si>
  <si>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</si>
  <si>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</si>
  <si>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</si>
  <si>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</si>
  <si>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</si>
  <si>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</si>
  <si>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</si>
  <si>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</si>
  <si>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</si>
  <si>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</si>
  <si>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</si>
  <si>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</si>
  <si>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</si>
  <si>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</si>
  <si>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</si>
  <si>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</si>
  <si>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</si>
  <si>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</si>
  <si>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</si>
  <si>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</si>
  <si>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</si>
  <si>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</si>
  <si>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</si>
  <si>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</si>
  <si>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</si>
  <si>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</si>
  <si>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</si>
  <si>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</si>
  <si>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</si>
  <si>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</si>
  <si>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</si>
  <si>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</si>
  <si>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</si>
  <si>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</si>
  <si>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</si>
  <si>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</si>
  <si>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</si>
  <si>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</si>
  <si>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</si>
  <si>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</si>
  <si>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</si>
  <si>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</si>
  <si>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</si>
  <si>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</si>
  <si>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</si>
  <si>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</si>
  <si>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</si>
  <si>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</si>
  <si>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</si>
  <si>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</si>
  <si>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</si>
  <si>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</si>
  <si>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</si>
  <si>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</si>
  <si>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</si>
  <si>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</si>
  <si>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</si>
  <si>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</si>
  <si>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</si>
  <si>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</si>
  <si>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</si>
  <si>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</si>
  <si>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</si>
  <si>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</si>
  <si>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</si>
  <si>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</si>
  <si>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</si>
  <si>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</si>
  <si>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</si>
  <si>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</si>
  <si>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</si>
  <si>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</si>
  <si>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</si>
  <si>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</si>
  <si>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</si>
  <si>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</si>
  <si>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</si>
  <si>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</si>
  <si>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</si>
  <si>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</si>
  <si>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</si>
  <si>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</si>
  <si>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</si>
  <si>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</si>
  <si>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</si>
  <si>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</si>
  <si>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</si>
  <si>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</si>
  <si>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</si>
  <si>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</si>
  <si>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</si>
  <si>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</si>
  <si>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</si>
  <si>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</si>
  <si>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</si>
  <si>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</si>
  <si>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</si>
  <si>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</si>
  <si>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</si>
  <si>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</si>
  <si>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</si>
  <si>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</si>
  <si>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</si>
  <si>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</si>
  <si>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</si>
  <si>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</si>
  <si>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</si>
  <si>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</si>
  <si>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</si>
  <si>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</si>
  <si>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</si>
  <si>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</si>
  <si>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</si>
  <si>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</si>
  <si>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</si>
  <si>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</si>
  <si>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</si>
  <si>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</si>
  <si>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</si>
  <si>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</si>
  <si>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</si>
  <si>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</si>
  <si>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</si>
  <si>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</si>
  <si>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</si>
  <si>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</si>
  <si>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</si>
  <si>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</si>
  <si>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</si>
  <si>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</si>
  <si>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</si>
  <si>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</si>
  <si>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</si>
  <si>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</si>
  <si>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</si>
  <si>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</si>
  <si>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</si>
  <si>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</si>
  <si>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</si>
  <si>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</si>
  <si>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</si>
  <si>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</si>
  <si>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</si>
  <si>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</si>
  <si>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</si>
  <si>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</si>
  <si>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</si>
  <si>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</si>
  <si>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</si>
  <si>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</si>
  <si>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</si>
  <si>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</si>
  <si>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</si>
  <si>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</si>
  <si>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</si>
  <si>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</si>
  <si>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</si>
  <si>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</si>
  <si>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</si>
  <si>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</si>
  <si>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</si>
  <si>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</si>
  <si>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</si>
  <si>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</si>
  <si>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</si>
  <si>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</si>
  <si>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</si>
  <si>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</si>
  <si>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</si>
  <si>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</si>
  <si>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</si>
  <si>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</si>
  <si>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</si>
  <si>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</si>
  <si>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</si>
  <si>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</si>
  <si>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</si>
  <si>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</si>
  <si>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</si>
  <si>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</si>
  <si>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</si>
  <si>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</si>
  <si>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</si>
  <si>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</si>
  <si>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</si>
  <si>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</si>
  <si>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</si>
  <si>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</si>
  <si>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</si>
  <si>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</si>
  <si>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</si>
  <si>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</si>
  <si>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</si>
  <si>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</si>
  <si>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</si>
  <si>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</si>
  <si>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</si>
  <si>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</si>
  <si>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</si>
  <si>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</si>
  <si>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</si>
  <si>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</si>
  <si>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</si>
  <si>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</si>
  <si>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</si>
  <si>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LEON</t>
  </si>
  <si>
    <t>Resumenes por Partidos Judiciales</t>
  </si>
  <si>
    <t>SAHAGUN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</si>
</sst>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Pzfal+0K9ztsgw1VO0UAxOihrK6QcrGwGhwZqYPkNKLAKtRzk4qoCjdFikcpGIHZMHFYPowyt7lbiVKRq4anw==" saltValue="aQKGYlfJMmGvkzvxBcGo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SAHAGUN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120</v>
      </c>
      <c r="D12" s="404">
        <f>IF(ISNUMBER(C12/Datos!BH12),C12/Datos!BH12," - ")</f>
        <v>120</v>
      </c>
      <c r="E12" s="403">
        <f>IF(ISNUMBER(IF(J_V="SI",Datos!J12,Datos!J12+Datos!Z12)),IF(J_V="SI",Datos!J12,Datos!J12+Datos!Z12)," - ")</f>
        <v>88</v>
      </c>
      <c r="F12" s="404">
        <f>IF(ISNUMBER(E12/B12),E12/B12," - ")</f>
        <v>88</v>
      </c>
      <c r="G12" s="403">
        <f>IF(ISNUMBER(IF(J_V="SI",Datos!K12,Datos!K12+Datos!AA12)),IF(J_V="SI",Datos!K12,Datos!K12+Datos!AA12)," - ")</f>
        <v>80</v>
      </c>
      <c r="H12" s="404">
        <f>IF(ISNUMBER(G12/B12),G12/B12," - ")</f>
        <v>80</v>
      </c>
      <c r="I12" s="403">
        <f>IF(ISNUMBER(IF(J_V="SI",Datos!L12,Datos!L12+Datos!AB12)),IF(J_V="SI",Datos!L12,Datos!L12+Datos!AB12)," - ")</f>
        <v>128</v>
      </c>
      <c r="J12" s="404">
        <f>IF(ISNUMBER(I12/B12),I12/B12," - ")</f>
        <v>128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120</v>
      </c>
      <c r="D13" s="850" t="str">
        <f>IF(ISNUMBER(C13/Datos!BI13),C13/Datos!BI13," - ")</f>
        <v xml:space="preserve"> - </v>
      </c>
      <c r="E13" s="849">
        <f>SUBTOTAL(9,E8:E12)</f>
        <v>88</v>
      </c>
      <c r="F13" s="850">
        <f>IF(ISNUMBER(E13/B13),E13/B13," - ")</f>
        <v>88</v>
      </c>
      <c r="G13" s="849">
        <f>SUBTOTAL(9,G8:G12)</f>
        <v>80</v>
      </c>
      <c r="H13" s="850">
        <f>IF(ISNUMBER(G13/B13),G13/B13," - ")</f>
        <v>80</v>
      </c>
      <c r="I13" s="849">
        <f>SUBTOTAL(9,I8:I12)</f>
        <v>128</v>
      </c>
      <c r="J13" s="850">
        <f>IF(ISNUMBER(I13/B13),I13/B13," - ")</f>
        <v>128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81</v>
      </c>
      <c r="D16" s="404">
        <f>IF(ISNUMBER(C16/Datos!BH16),C16/Datos!BH16," - ")</f>
        <v>81</v>
      </c>
      <c r="E16" s="403">
        <f>IF(ISNUMBER(IF(D_I="SI",Datos!J16,Datos!J16+Datos!AD16)),IF(D_I="SI",Datos!J16,Datos!J16+Datos!AD16)," - ")</f>
        <v>60</v>
      </c>
      <c r="F16" s="404">
        <f>IF(ISNUMBER(E16/B16),E16/B16," - ")</f>
        <v>60</v>
      </c>
      <c r="G16" s="403">
        <f>IF(ISNUMBER(IF(D_I="SI",Datos!K16,Datos!K16+Datos!AE16)),IF(D_I="SI",Datos!K16,Datos!K16+Datos!AE16)," - ")</f>
        <v>49</v>
      </c>
      <c r="H16" s="404">
        <f>IF(ISNUMBER(G16/B16),G16/B16," - ")</f>
        <v>49</v>
      </c>
      <c r="I16" s="403">
        <f>IF(ISNUMBER(IF(D_I="SI",Datos!L16,Datos!L16+Datos!AF16)),IF(D_I="SI",Datos!L16,Datos!L16+Datos!AF16)," - ")</f>
        <v>93</v>
      </c>
      <c r="J16" s="404">
        <f>IF(ISNUMBER(I16/B16),I16/B16," - ")</f>
        <v>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5</v>
      </c>
      <c r="F17" s="404">
        <f>IF(ISNUMBER(E17/B17),E17/B17," - ")</f>
        <v>5</v>
      </c>
      <c r="G17" s="403">
        <f>IF(ISNUMBER(IF(D_I="SI",Datos!K17,Datos!K17+Datos!AE17)),IF(D_I="SI",Datos!K17,Datos!K17+Datos!AE17)," - ")</f>
        <v>4</v>
      </c>
      <c r="H17" s="404">
        <f>IF(ISNUMBER(G17/B17),G17/B17," - ")</f>
        <v>4</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84</v>
      </c>
      <c r="D18" s="850" t="str">
        <f>IF(ISNUMBER(C18/Datos!BI18),C18/Datos!BI18," - ")</f>
        <v xml:space="preserve"> - </v>
      </c>
      <c r="E18" s="849">
        <f>SUBTOTAL(9,E14:E17)</f>
        <v>65</v>
      </c>
      <c r="F18" s="850">
        <f>IF(ISNUMBER(E18/B18),E18/B18," - ")</f>
        <v>65</v>
      </c>
      <c r="G18" s="849">
        <f>SUBTOTAL(9,G14:G17)</f>
        <v>53</v>
      </c>
      <c r="H18" s="850">
        <f>IF(ISNUMBER(G18/B18),G18/B18," - ")</f>
        <v>53</v>
      </c>
      <c r="I18" s="849">
        <f>SUBTOTAL(9,I14:I17)</f>
        <v>97</v>
      </c>
      <c r="J18" s="850">
        <f>IF(ISNUMBER(I18/B18),I18/B18," - ")</f>
        <v>97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204</v>
      </c>
      <c r="D19" s="795" t="str">
        <f>IF(ISNUMBER(C19/Datos!BI19),C19/Datos!BI19," - ")</f>
        <v xml:space="preserve"> - </v>
      </c>
      <c r="E19" s="794">
        <f>SUBTOTAL(9,E9:E18)</f>
        <v>153</v>
      </c>
      <c r="F19" s="795">
        <f>IF(ISNUMBER(E19/B19),E19/B19," - ")</f>
        <v>153</v>
      </c>
      <c r="G19" s="794">
        <f>SUBTOTAL(9,G9:G18)</f>
        <v>133</v>
      </c>
      <c r="H19" s="795">
        <f>IF(ISNUMBER(G19/B19),G19/B19," - ")</f>
        <v>133</v>
      </c>
      <c r="I19" s="794">
        <f>SUBTOTAL(9,I9:I18)</f>
        <v>225</v>
      </c>
      <c r="J19" s="795">
        <f>IF(ISNUMBER(I19/B19),I19/B19," - ")</f>
        <v>225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qlcK7ZO8VS/u+ya3M+JdAZPbo11RLRbUgKx1UuPi0BofUNCtlqCcuOxFS/hHnRxK3nW+Jr1upcD1I/dHoFJmQ==" saltValue="81dbmljvgL/R812JeqNw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SAHAGUN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RQEB0MQYrqWmufwQ9Scfa+pXk5xD2ZTbsUXuULvKSizGNLMPyEq9S29Eu1iZIn5IlTbBdU8p5s5kVf820oUV3Q==" saltValue="JHoEm44vocA+onlZ3yvJ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SAHAGUN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30</v>
      </c>
      <c r="E12" s="404">
        <f t="shared" si="0"/>
        <v>30</v>
      </c>
      <c r="F12" s="403">
        <f>IF(ISNUMBER(Datos!N12),Datos!N12," - ")</f>
        <v>31</v>
      </c>
      <c r="G12" s="404">
        <f t="shared" si="1"/>
        <v>31</v>
      </c>
      <c r="H12" s="403">
        <f>IF(ISNUMBER(Datos!O12),Datos!O12," - ")</f>
        <v>25</v>
      </c>
      <c r="I12" s="404">
        <f t="shared" si="2"/>
        <v>25</v>
      </c>
      <c r="BZ12" s="1186">
        <f>Datos!EZ12</f>
        <v>0</v>
      </c>
    </row>
    <row r="13" spans="1:78" ht="14.25" thickTop="1" thickBot="1">
      <c r="A13" s="848" t="str">
        <f>Datos!A13</f>
        <v>TOTAL</v>
      </c>
      <c r="B13" s="849">
        <f>Datos!AP13</f>
        <v>1</v>
      </c>
      <c r="C13" s="851">
        <f>Datos!AR13</f>
        <v>1</v>
      </c>
      <c r="D13" s="849">
        <f>SUBTOTAL(9,D9:D12)</f>
        <v>30</v>
      </c>
      <c r="E13" s="850">
        <f t="shared" si="0"/>
        <v>30</v>
      </c>
      <c r="F13" s="849">
        <f>SUBTOTAL(9,F9:F12)</f>
        <v>31</v>
      </c>
      <c r="G13" s="850">
        <f t="shared" si="1"/>
        <v>31</v>
      </c>
      <c r="H13" s="849">
        <f>SUBTOTAL(9,H9:H12)</f>
        <v>25</v>
      </c>
      <c r="I13" s="850">
        <f>IF(ISNUMBER(H13/B13),H13/B13," - ")</f>
        <v>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v>
      </c>
      <c r="E16" s="404">
        <f t="shared" si="3"/>
        <v>6</v>
      </c>
      <c r="F16" s="403">
        <f>IF(ISNUMBER(Datos!N16),Datos!N16," - ")</f>
        <v>31</v>
      </c>
      <c r="G16" s="404">
        <f t="shared" si="4"/>
        <v>31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v>
      </c>
      <c r="E18" s="850">
        <f t="shared" si="3"/>
        <v>6</v>
      </c>
      <c r="F18" s="849">
        <f>SUBTOTAL(9,F15:F17)</f>
        <v>36</v>
      </c>
      <c r="G18" s="850">
        <f t="shared" si="4"/>
        <v>36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36</v>
      </c>
      <c r="E19" s="795">
        <f>IF(ISNUMBER(D19/B19),D19/B19," - ")</f>
        <v>36</v>
      </c>
      <c r="F19" s="794">
        <f>SUBTOTAL(9,F8:F18)</f>
        <v>67</v>
      </c>
      <c r="G19" s="795">
        <f>IF(ISNUMBER(F19/B19),F19/B19," - ")</f>
        <v>67</v>
      </c>
      <c r="H19" s="794">
        <f>SUBTOTAL(9,H8:H18)</f>
        <v>25</v>
      </c>
      <c r="I19" s="795">
        <f>IF(ISNUMBER(H19/B19),H19/B19," - ")</f>
        <v>25</v>
      </c>
    </row>
    <row r="22" spans="1:78">
      <c r="A22" s="391" t="str">
        <f>Criterios!A4</f>
        <v>Fecha Informe: 27 feb. 2025</v>
      </c>
    </row>
    <row r="27" spans="1:78">
      <c r="A27" s="414"/>
    </row>
  </sheetData>
  <sheetProtection algorithmName="SHA-512" hashValue="PgmsVLGyoSxbcRwtH6FkqVB+zmta4M50h+xrrYR7CnWT+yZIm22Rh0KMgZ0zvNA/Aj7vy4HPSFIF2lI35dOOIA==" saltValue="zmNqOW1q8GA3oOFcC65B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SAHAGUN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4</v>
      </c>
      <c r="D12" s="408">
        <f>IF(ISNUMBER(Datos!R12),Datos!R12," - ")</f>
        <v>307</v>
      </c>
    </row>
    <row r="13" spans="1:4" ht="14.25" thickTop="1" thickBot="1">
      <c r="A13" s="848" t="str">
        <f>Datos!A13</f>
        <v>TOTAL</v>
      </c>
      <c r="B13" s="849">
        <f>SUBTOTAL(9,B9:B12)</f>
        <v>21</v>
      </c>
      <c r="C13" s="853">
        <f>SUBTOTAL(9,C9:C12)</f>
        <v>4</v>
      </c>
      <c r="D13" s="851">
        <f>SUBTOTAL(9,D9:D12)</f>
        <v>307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2</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2</v>
      </c>
      <c r="D18" s="851">
        <f>SUBTOTAL(9,D15:D17)</f>
        <v>11</v>
      </c>
    </row>
    <row r="19" spans="1:4" ht="16.5" customHeight="1" thickTop="1" thickBot="1">
      <c r="A19" s="793" t="str">
        <f>Datos!A19</f>
        <v>TOTAL JURISDICCIONES</v>
      </c>
      <c r="B19" s="798">
        <f>SUBTOTAL(9,B8:B18)</f>
        <v>23</v>
      </c>
      <c r="C19" s="799">
        <f>SUBTOTAL(9,C8:C18)</f>
        <v>6</v>
      </c>
      <c r="D19" s="800">
        <f>SUBTOTAL(9,D8:D18)</f>
        <v>318</v>
      </c>
    </row>
    <row r="20" spans="1:4" ht="7.5" customHeight="1"/>
    <row r="21" spans="1:4" ht="6" customHeight="1"/>
    <row r="22" spans="1:4">
      <c r="A22" s="391" t="str">
        <f>Criterios!A4</f>
        <v>Fecha Informe: 27 feb. 2025</v>
      </c>
    </row>
    <row r="27" spans="1:4">
      <c r="A27" s="414"/>
    </row>
  </sheetData>
  <sheetProtection algorithmName="SHA-512" hashValue="sYFz2OcghYmnWoYtXtp0GpOdbyS10Q7CD4IFLwnRGzs94QbmuNhpTOreJTp4KyV9zwnrnC/YGs9KpJTD0jBPow==" saltValue="dRVLZMxf98cJxd6JIMHTn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SAHAGUN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-4.7619047619047616E-2</v>
      </c>
      <c r="C12" s="456">
        <f>IF(ISNUMBER(
   IF(J_V="SI",(Datos!J12-Datos!T12)/Datos!T12,(Datos!J12+Datos!Z12-(Datos!T12+Datos!AH12))/(Datos!T12+Datos!AH12))
     ),IF(J_V="SI",(Datos!J12-Datos!T12)/Datos!T12,(Datos!J12+Datos!Z12-(Datos!T12+Datos!AH12))/(Datos!T12+Datos!AH12))," - ")</f>
        <v>0.41935483870967744</v>
      </c>
      <c r="D12" s="456">
        <f>IF(ISNUMBER(
   IF(J_V="SI",(Datos!K12-Datos!U12)/Datos!U12,(Datos!K12+Datos!AA12-(Datos!U12+Datos!AI12))/(Datos!U12+Datos!AI12))
     ),IF(J_V="SI",(Datos!K12-Datos!U12)/Datos!U12,(Datos!K12+Datos!AA12-(Datos!U12+Datos!AI12))/(Datos!U12+Datos!AI12))," - ")</f>
        <v>0.19402985074626866</v>
      </c>
      <c r="E12" s="456">
        <f>IF(ISNUMBER(
   IF(J_V="SI",(Datos!L12-Datos!V12)/Datos!V12,(Datos!L12+Datos!AB12-(Datos!V12+Datos!AJ12))/(Datos!V12+Datos!AJ12))
     ),IF(J_V="SI",(Datos!L12-Datos!V12)/Datos!V12,(Datos!L12+Datos!AB12-(Datos!V12+Datos!AJ12))/(Datos!V12+Datos!AJ12))," - ")</f>
        <v>0.10344827586206896</v>
      </c>
      <c r="F12" s="456">
        <f>IF(ISNUMBER((Datos!M12-Datos!W12)/Datos!W12),(Datos!M12-Datos!W12)/Datos!W12," - ")</f>
        <v>2.3333333333333335</v>
      </c>
      <c r="G12" s="457">
        <f>IF(ISNUMBER((Datos!N12-Datos!X12)/Datos!X12),(Datos!N12-Datos!X12)/Datos!X12," - ")</f>
        <v>-0.22500000000000001</v>
      </c>
      <c r="H12" s="455">
        <f>IF(ISNUMBER(((NºAsuntos!G12/NºAsuntos!E12)-Datos!BD12)/Datos!BD12),((NºAsuntos!G12/NºAsuntos!E12)-Datos!BD12)/Datos!BD12," - ")</f>
        <v>-0.15875169606512887</v>
      </c>
      <c r="I12" s="456">
        <f>IF(ISNUMBER(((NºAsuntos!I12/NºAsuntos!G12)-Datos!BE12)/Datos!BE12),((NºAsuntos!I12/NºAsuntos!G12)-Datos!BE12)/Datos!BE12," - ")</f>
        <v>-7.5862068965517129E-2</v>
      </c>
      <c r="J12" s="461">
        <f>IF(ISNUMBER((('Resol  Asuntos'!D12/NºAsuntos!G12)-Datos!BF12)/Datos!BF12),(('Resol  Asuntos'!D12/NºAsuntos!G12)-Datos!BF12)/Datos!BF12," - ")</f>
        <v>-0.37187499999999996</v>
      </c>
      <c r="K12" s="462">
        <f>IF(ISNUMBER((((NºAsuntos!C12+NºAsuntos!E12)/NºAsuntos!G12)-Datos!BG12)/Datos!BG12),(((NºAsuntos!C12+NºAsuntos!E12)/NºAsuntos!G12)-Datos!BG12)/Datos!BG12," - ")</f>
        <v>-7.3404255319148945E-2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-6.25E-2</v>
      </c>
      <c r="C13" s="855">
        <f>IF(ISNUMBER(
   IF(J_V="SI",(Datos!J13-Datos!T13)/Datos!T13,(Datos!J13+Datos!Z13-(Datos!T13+Datos!AH13))/(Datos!T13+Datos!AH13))
     ),IF(J_V="SI",(Datos!J13-Datos!T13)/Datos!T13,(Datos!J13+Datos!Z13-(Datos!T13+Datos!AH13))/(Datos!T13+Datos!AH13))," - ")</f>
        <v>0.41935483870967744</v>
      </c>
      <c r="D13" s="855">
        <f>IF(ISNUMBER(
   IF(J_V="SI",(Datos!K13-Datos!U13)/Datos!U13,(Datos!K13+Datos!AA13-(Datos!U13+Datos!AI13))/(Datos!U13+Datos!AI13))
     ),IF(J_V="SI",(Datos!K13-Datos!U13)/Datos!U13,(Datos!K13+Datos!AA13-(Datos!U13+Datos!AI13))/(Datos!U13+Datos!AI13))," - ")</f>
        <v>0.19402985074626866</v>
      </c>
      <c r="E13" s="855">
        <f>IF(ISNUMBER(
   IF(J_V="SI",(Datos!L13-Datos!V13)/Datos!V13,(Datos!L13+Datos!AB13-(Datos!V13+Datos!AJ13))/(Datos!V13+Datos!AJ13))
     ),IF(J_V="SI",(Datos!L13-Datos!V13)/Datos!V13,(Datos!L13+Datos!AB13-(Datos!V13+Datos!AJ13))/(Datos!V13+Datos!AJ13))," - ")</f>
        <v>0.10344827586206896</v>
      </c>
      <c r="F13" s="856">
        <f>IF(ISNUMBER((Datos!M13-Datos!W13)/Datos!W13),(Datos!M13-Datos!W13)/Datos!W13," - ")</f>
        <v>2.3333333333333335</v>
      </c>
      <c r="G13" s="857">
        <f>IF(ISNUMBER((Datos!N13-Datos!X13)/Datos!X13),(Datos!N13-Datos!X13)/Datos!X13," - ")</f>
        <v>-0.22500000000000001</v>
      </c>
      <c r="H13" s="857">
        <f>IF(ISNUMBER(((NºAsuntos!G13/NºAsuntos!E13)-Datos!BD13)/Datos!BD13),((NºAsuntos!G13/NºAsuntos!E13)-Datos!BD13)/Datos!BD13," - ")</f>
        <v>-0.15875169606512887</v>
      </c>
      <c r="I13" s="857">
        <f>IF(ISNUMBER(((NºAsuntos!I13/NºAsuntos!G13)-Datos!BE13)/Datos!BE13),((NºAsuntos!I13/NºAsuntos!G13)-Datos!BE13)/Datos!BE13," - ")</f>
        <v>-7.5862068965517129E-2</v>
      </c>
      <c r="J13" s="857">
        <f>IF(ISNUMBER((('Resol  Asuntos'!D13/NºAsuntos!G13)-Datos!BF13)/Datos!BF13),(('Resol  Asuntos'!D13/NºAsuntos!G13)-Datos!BF13)/Datos!BF13," - ")</f>
        <v>-0.37187499999999996</v>
      </c>
      <c r="K13" s="857">
        <f>IF(ISNUMBER((((NºAsuntos!C13+NºAsuntos!E13)/NºAsuntos!G13)-Datos!BG13)/Datos!BG13),(((NºAsuntos!C13+NºAsuntos!E13)/NºAsuntos!G13)-Datos!BG13)/Datos!BG13," - ")</f>
        <v>-8.3157894736842139E-2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0.2857142857142857</v>
      </c>
      <c r="C16" s="456">
        <f>IF(ISNUMBER(
   IF(D_I="SI",(Datos!J16-Datos!T16)/Datos!T16,(Datos!J16+Datos!AD16-(Datos!T16+Datos!AL16))/(Datos!T16+Datos!AL16))
     ),IF(D_I="SI",(Datos!J16-Datos!T16)/Datos!T16,(Datos!J16+Datos!AD16-(Datos!T16+Datos!AL16))/(Datos!T16+Datos!AL16))," - ")</f>
        <v>0.46341463414634149</v>
      </c>
      <c r="D16" s="456">
        <f>IF(ISNUMBER(
   IF(D_I="SI",(Datos!K16-Datos!U16)/Datos!U16,(Datos!K16+Datos!AE16-(Datos!U16+Datos!AM16))/(Datos!U16+Datos!AM16))
     ),IF(D_I="SI",(Datos!K16-Datos!U16)/Datos!U16,(Datos!K16+Datos!AE16-(Datos!U16+Datos!AM16))/(Datos!U16+Datos!AM16))," - ")</f>
        <v>-0.02</v>
      </c>
      <c r="E16" s="456">
        <f>IF(ISNUMBER(
   IF(D_I="SI",(Datos!L16-Datos!V16)/Datos!V16,(Datos!L16+Datos!AF16-(Datos!V16+Datos!AN16))/(Datos!V16+Datos!AN16))
     ),IF(D_I="SI",(Datos!L16-Datos!V16)/Datos!V16,(Datos!L16+Datos!AF16-(Datos!V16+Datos!AN16))/(Datos!V16+Datos!AN16))," - ")</f>
        <v>0.60344827586206895</v>
      </c>
      <c r="F16" s="456">
        <f>IF(ISNUMBER((Datos!M16-Datos!W16)/Datos!W16),(Datos!M16-Datos!W16)/Datos!W16," - ")</f>
        <v>0</v>
      </c>
      <c r="G16" s="457">
        <f>IF(ISNUMBER((Datos!N16-Datos!X16)/Datos!X16),(Datos!N16-Datos!X16)/Datos!X16," - ")</f>
        <v>-6.0606060606060608E-2</v>
      </c>
      <c r="H16" s="455">
        <f>IF(ISNUMBER(((NºAsuntos!G16/NºAsuntos!E16)-Datos!BD16)/Datos!BD16),((NºAsuntos!G16/NºAsuntos!E16)-Datos!BD16)/Datos!BD16," - ")</f>
        <v>-0.33033333333333331</v>
      </c>
      <c r="I16" s="456">
        <f>IF(ISNUMBER(((NºAsuntos!I16/NºAsuntos!G16)-Datos!BE16)/Datos!BE16),((NºAsuntos!I16/NºAsuntos!G16)-Datos!BE16)/Datos!BE16," - ")</f>
        <v>0.63617171006333584</v>
      </c>
      <c r="J16" s="461">
        <f>IF(ISNUMBER((('Resol  Asuntos'!D16/NºAsuntos!G16)-Datos!BF16)/Datos!BF16),(('Resol  Asuntos'!D16/NºAsuntos!G16)-Datos!BF16)/Datos!BF16," - ")</f>
        <v>2.0408163265306138E-2</v>
      </c>
      <c r="K16" s="462">
        <f>IF(ISNUMBER((((NºAsuntos!C16+NºAsuntos!E16)/NºAsuntos!G16)-Datos!BG16)/Datos!BG16),(((NºAsuntos!C16+NºAsuntos!E16)/NºAsuntos!G16)-Datos!BG16)/Datos!BG16," - ")</f>
        <v>0.3834379905808476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3</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0.3125</v>
      </c>
      <c r="C18" s="855">
        <f>IF(ISNUMBER(
   IF(Criterios!B14="SI",(Datos!J18-Datos!T18)/Datos!T18,(Datos!J18+Datos!AD18-(Datos!T18+Datos!AL18))/(Datos!T18+Datos!AL18))
     ),IF(Criterios!B14="SI",(Datos!J18-Datos!T18)/Datos!T18,(Datos!J18+Datos!AD18-(Datos!T18+Datos!AL18))/(Datos!T18+Datos!AL18))," - ")</f>
        <v>0.58536585365853655</v>
      </c>
      <c r="D18" s="855">
        <f>IF(ISNUMBER(
   IF(Criterios!B14="SI",(Datos!K18-Datos!U18)/Datos!U18,(Datos!K18+Datos!AE18-(Datos!U18+Datos!AM18))/(Datos!U18+Datos!AM18))
     ),IF(Criterios!B14="SI",(Datos!K18-Datos!U18)/Datos!U18,(Datos!K18+Datos!AE18-(Datos!U18+Datos!AM18))/(Datos!U18+Datos!AM18))," - ")</f>
        <v>0.06</v>
      </c>
      <c r="E18" s="855">
        <f>IF(ISNUMBER(
   IF(Criterios!B14="SI",(Datos!L18-Datos!V18)/Datos!V18,(Datos!L18+Datos!AF18-(Datos!V18+Datos!AN18))/(Datos!V18+Datos!AN18))
     ),IF(Criterios!B14="SI",(Datos!L18-Datos!V18)/Datos!V18,(Datos!L18+Datos!AF18-(Datos!V18+Datos!AN18))/(Datos!V18+Datos!AN18))," - ")</f>
        <v>0.64406779661016944</v>
      </c>
      <c r="F18" s="856">
        <f>IF(ISNUMBER((Datos!M18-Datos!W18)/Datos!W18),(Datos!M18-Datos!W18)/Datos!W18," - ")</f>
        <v>0</v>
      </c>
      <c r="G18" s="857">
        <f>IF(ISNUMBER((Datos!N18-Datos!X18)/Datos!X18),(Datos!N18-Datos!X18)/Datos!X18," - ")</f>
        <v>9.0909090909090912E-2</v>
      </c>
      <c r="H18" s="857">
        <f>IF(ISNUMBER(((NºAsuntos!G18/NºAsuntos!E18)-Datos!BD18)/Datos!BD18),((NºAsuntos!G18/NºAsuntos!E18)-Datos!BD18)/Datos!BD18," - ")</f>
        <v>-0.33138461538461539</v>
      </c>
      <c r="I18" s="857">
        <f>IF(ISNUMBER(((NºAsuntos!I18/NºAsuntos!G18)-Datos!BE18)/Datos!BE18),((NºAsuntos!I18/NºAsuntos!G18)-Datos!BE18)/Datos!BE18," - ")</f>
        <v>0.5510073552926128</v>
      </c>
      <c r="J18" s="857">
        <f>IF(ISNUMBER((('Resol  Asuntos'!D18/NºAsuntos!G18)-Datos!BF18)/Datos!BF18),(('Resol  Asuntos'!D18/NºAsuntos!G18)-Datos!BF18)/Datos!BF18," - ")</f>
        <v>-5.6603773584905606E-2</v>
      </c>
      <c r="K18" s="857">
        <f>IF(ISNUMBER((((NºAsuntos!C18+NºAsuntos!E18)/NºAsuntos!G18)-Datos!BG18)/Datos!BG18),(((NºAsuntos!C18+NºAsuntos!E18)/NºAsuntos!G18)-Datos!BG18)/Datos!BG18," - ")</f>
        <v>0.33872416891284812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6.25E-2</v>
      </c>
      <c r="C19" s="802">
        <f>IF(ISNUMBER(
   IF(J_V="SI",(Datos!J19-Datos!T19)/Datos!T19,(Datos!J19+Datos!Z19-(Datos!T19+Datos!AH19))/(Datos!T19+Datos!AH19))
     ),IF(J_V="SI",(Datos!J19-Datos!T19)/Datos!T19,(Datos!J19+Datos!Z19-(Datos!T19+Datos!AH19))/(Datos!T19+Datos!AH19))," - ")</f>
        <v>0.4854368932038835</v>
      </c>
      <c r="D19" s="802">
        <f>IF(ISNUMBER(
   IF(J_V="SI",(Datos!K19-Datos!U19)/Datos!U19,(Datos!K19+Datos!AA19-(Datos!U19+Datos!AI19))/(Datos!U19+Datos!AI19))
     ),IF(J_V="SI",(Datos!K19-Datos!U19)/Datos!U19,(Datos!K19+Datos!AA19-(Datos!U19+Datos!AI19))/(Datos!U19+Datos!AI19))," - ")</f>
        <v>0.13675213675213677</v>
      </c>
      <c r="E19" s="802">
        <f>IF(ISNUMBER(
   IF(J_V="SI",(Datos!L19-Datos!V19)/Datos!V19,(Datos!L19+Datos!AB19-(Datos!V19+Datos!AJ19))/(Datos!V19+Datos!AJ19))
     ),IF(J_V="SI",(Datos!L19-Datos!V19)/Datos!V19,(Datos!L19+Datos!AB19-(Datos!V19+Datos!AJ19))/(Datos!V19+Datos!AJ19))," - ")</f>
        <v>0.2857142857142857</v>
      </c>
      <c r="F19" s="803">
        <f>IF(ISNUMBER((Datos!M19-Datos!W19)/Datos!W19),(Datos!M19-Datos!W19)/Datos!W19," - ")</f>
        <v>1.4</v>
      </c>
      <c r="G19" s="804">
        <f>IF(ISNUMBER((Datos!N19-Datos!X19)/Datos!X19),(Datos!N19-Datos!X19)/Datos!X19," - ")</f>
        <v>-8.2191780821917804E-2</v>
      </c>
      <c r="H19" s="805">
        <f>IF(ISNUMBER((Tasas!B19-Datos!BD19)/Datos!BD19),(Tasas!B19-Datos!BD19)/Datos!BD19," - ")</f>
        <v>-0.23473548963745036</v>
      </c>
      <c r="I19" s="806">
        <f>IF(ISNUMBER((Tasas!C19-Datos!BE19)/Datos!BE19),(Tasas!C19-Datos!BE19)/Datos!BE19," - ")</f>
        <v>0.13104189044038664</v>
      </c>
      <c r="J19" s="807">
        <f>IF(ISNUMBER((Tasas!D19-Datos!BF19)/Datos!BF19),(Tasas!D19-Datos!BF19)/Datos!BF19," - ")</f>
        <v>-0.31153971886237336</v>
      </c>
      <c r="K19" s="807">
        <f>IF(ISNUMBER((Tasas!E19-Datos!BG19)/Datos!BG19),(Tasas!E19-Datos!BG19)/Datos!BG19," - ")</f>
        <v>6.4585191793041924E-2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KCURxM/XNLRHFYL4tfeAARTNOzZdHW3D+SpK3VDAzSQrWINhyGyyqa6/z2LISSgbzEu5lq9hrkbC+PkNbEBOQ==" saltValue="vI1C4tqn6D7yEU3gQZEA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SAHAGUN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0.90909090909090906</v>
      </c>
      <c r="C12" s="443">
        <f>IF(ISNUMBER(NºAsuntos!I12/NºAsuntos!G12),NºAsuntos!I12/NºAsuntos!G12," - ")</f>
        <v>1.6</v>
      </c>
      <c r="D12" s="444">
        <f>IF(ISNUMBER('Resol  Asuntos'!D12/NºAsuntos!G12),'Resol  Asuntos'!D12/NºAsuntos!G12," - ")</f>
        <v>0.375</v>
      </c>
      <c r="E12" s="445">
        <f>IF(ISNUMBER((NºAsuntos!C12+NºAsuntos!E12)/NºAsuntos!G12),(NºAsuntos!C12+NºAsuntos!E12)/NºAsuntos!G12," - ")</f>
        <v>2.6</v>
      </c>
      <c r="G12" s="463"/>
    </row>
    <row r="13" spans="1:7" ht="14.25" thickTop="1" thickBot="1">
      <c r="A13" s="848" t="str">
        <f>Datos!A13</f>
        <v>TOTAL</v>
      </c>
      <c r="B13" s="858">
        <f>IF(ISNUMBER(NºAsuntos!G13/NºAsuntos!E13),NºAsuntos!G13/NºAsuntos!E13," - ")</f>
        <v>0.90909090909090906</v>
      </c>
      <c r="C13" s="859">
        <f>IF(ISNUMBER(NºAsuntos!I13/NºAsuntos!G13),NºAsuntos!I13/NºAsuntos!G13," - ")</f>
        <v>1.6</v>
      </c>
      <c r="D13" s="860">
        <f>IF(ISNUMBER('Resol  Asuntos'!D13/NºAsuntos!G13),'Resol  Asuntos'!D13/NºAsuntos!G13," - ")</f>
        <v>0.375</v>
      </c>
      <c r="E13" s="861">
        <f>IF(ISNUMBER((NºAsuntos!C13+NºAsuntos!E13)/NºAsuntos!G13),(NºAsuntos!C13+NºAsuntos!E13)/NºAsuntos!G13," - ")</f>
        <v>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0.81666666666666665</v>
      </c>
      <c r="C16" s="443">
        <f>IF(ISNUMBER(NºAsuntos!I16/NºAsuntos!G16),NºAsuntos!I16/NºAsuntos!G16," - ")</f>
        <v>1.8979591836734695</v>
      </c>
      <c r="D16" s="444">
        <f>IF(ISNUMBER('Resol  Asuntos'!D16/NºAsuntos!G16),'Resol  Asuntos'!D16/NºAsuntos!G16," - ")</f>
        <v>0.12244897959183673</v>
      </c>
      <c r="E16" s="445">
        <f>IF(ISNUMBER((NºAsuntos!C16+NºAsuntos!E16)/NºAsuntos!G16),(NºAsuntos!C16+NºAsuntos!E16)/NºAsuntos!G16," - ")</f>
        <v>2.8775510204081631</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1</v>
      </c>
      <c r="D17" s="444">
        <f>IF(ISNUMBER('Resol  Asuntos'!D17/NºAsuntos!G17),'Resol  Asuntos'!D17/NºAsuntos!G17," - ")</f>
        <v>0</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0.81538461538461537</v>
      </c>
      <c r="C18" s="859">
        <f>IF(ISNUMBER(NºAsuntos!I18/NºAsuntos!G18),NºAsuntos!I18/NºAsuntos!G18," - ")</f>
        <v>1.8301886792452831</v>
      </c>
      <c r="D18" s="862">
        <f>IF(ISNUMBER('Resol  Asuntos'!D18/NºAsuntos!G18),'Resol  Asuntos'!D18/NºAsuntos!G18," - ")</f>
        <v>0.11320754716981132</v>
      </c>
      <c r="E18" s="861">
        <f>IF(ISNUMBER((NºAsuntos!C18+NºAsuntos!E18)/NºAsuntos!G18),(NºAsuntos!C18+NºAsuntos!E18)/NºAsuntos!G18," - ")</f>
        <v>2.8113207547169812</v>
      </c>
      <c r="G18" s="463"/>
    </row>
    <row r="19" spans="1:7" ht="15.75" customHeight="1" thickTop="1" thickBot="1">
      <c r="A19" s="793" t="str">
        <f>Datos!A19</f>
        <v>TOTAL JURISDICCIONES</v>
      </c>
      <c r="B19" s="808">
        <f>IF(ISNUMBER(NºAsuntos!G19/NºAsuntos!E19),NºAsuntos!G19/NºAsuntos!E19," - ")</f>
        <v>0.86928104575163401</v>
      </c>
      <c r="C19" s="809">
        <f>IF(ISNUMBER(NºAsuntos!I19/NºAsuntos!G19),NºAsuntos!I19/NºAsuntos!G19," - ")</f>
        <v>1.6917293233082706</v>
      </c>
      <c r="D19" s="810">
        <f>IF(ISNUMBER('Resol  Asuntos'!D19/NºAsuntos!G19),'Resol  Asuntos'!D19/NºAsuntos!G19," - ")</f>
        <v>0.27067669172932329</v>
      </c>
      <c r="E19" s="811">
        <f>IF(ISNUMBER((NºAsuntos!C19+NºAsuntos!E19)/NºAsuntos!G19),(NºAsuntos!C19+NºAsuntos!E19)/NºAsuntos!G19," - ")</f>
        <v>2.6842105263157894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zSa1TOcDNMaEI/VbMObNljaYUtfLFiekf11TvxKSdGbB6Nlq+BSd4byIQifSMbMttxorvMKvdNzag46GFCTkQ==" saltValue="lVgT7zdumiVrr7Voo+X6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SAHAGUN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v>
      </c>
      <c r="Y12" s="334">
        <f t="shared" si="0"/>
        <v>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v>
      </c>
      <c r="AJ12" s="229" t="str">
        <f>IF(ISNUMBER(Datos!BW12),Datos!BW12," - ")</f>
        <v xml:space="preserve"> - </v>
      </c>
      <c r="AK12" s="228" t="str">
        <f>IF(ISNUMBER(Datos!BX12),Datos!BX12," - ")</f>
        <v xml:space="preserve"> - </v>
      </c>
      <c r="AL12" s="243">
        <f>IF(ISNUMBER(NºAsuntos!G12/NºAsuntos!E12),NºAsuntos!G12/NºAsuntos!E12," - ")</f>
        <v>0.90909090909090906</v>
      </c>
      <c r="AM12" s="260">
        <f>IF(ISNUMBER(((NºAsuntos!I12/NºAsuntos!G12)*11)/factor_trimestre),((NºAsuntos!I12/NºAsuntos!G12)*11)/factor_trimestre," - ")</f>
        <v>4.8000000000000007</v>
      </c>
      <c r="AN12" s="244">
        <f>IF(ISNUMBER('Resol  Asuntos'!D12/NºAsuntos!G12),'Resol  Asuntos'!D12/NºAsuntos!G12," - ")</f>
        <v>0.375</v>
      </c>
      <c r="AO12" s="245">
        <f>IF(ISNUMBER((NºAsuntos!C12+NºAsuntos!E12)/NºAsuntos!G12),(NºAsuntos!C12+NºAsuntos!E12)/NºAsuntos!G12," - ")</f>
        <v>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v>
      </c>
      <c r="Y13" s="868">
        <f t="shared" si="4"/>
        <v>4</v>
      </c>
      <c r="Z13" s="868">
        <f t="shared" si="4"/>
        <v>0</v>
      </c>
      <c r="AA13" s="868">
        <f t="shared" si="4"/>
        <v>0</v>
      </c>
      <c r="AB13" s="868">
        <f t="shared" si="4"/>
        <v>307</v>
      </c>
      <c r="AC13" s="868">
        <f t="shared" si="4"/>
        <v>0</v>
      </c>
      <c r="AD13" s="868">
        <f t="shared" si="4"/>
        <v>0</v>
      </c>
      <c r="AE13" s="872">
        <f t="shared" si="4"/>
        <v>0</v>
      </c>
      <c r="AF13" s="865">
        <f t="shared" si="4"/>
        <v>0</v>
      </c>
      <c r="AG13" s="873">
        <f t="shared" si="4"/>
        <v>0</v>
      </c>
      <c r="AH13" s="870">
        <f t="shared" si="4"/>
        <v>0</v>
      </c>
      <c r="AI13" s="865">
        <f t="shared" si="4"/>
        <v>30</v>
      </c>
      <c r="AJ13" s="867">
        <f t="shared" si="4"/>
        <v>0</v>
      </c>
      <c r="AK13" s="870">
        <f>SUBTOTAL(9,AK9:AK12)</f>
        <v>0</v>
      </c>
      <c r="AL13" s="874">
        <f>IF(ISNUMBER(NºAsuntos!G13/NºAsuntos!E13),NºAsuntos!G13/NºAsuntos!E13," - ")</f>
        <v>0.90909090909090906</v>
      </c>
      <c r="AM13" s="874">
        <f>IF(ISNUMBER(((NºAsuntos!I13/NºAsuntos!G13)*11)/factor_trimestre),((NºAsuntos!I13/NºAsuntos!G13)*11)/factor_trimestre," - ")</f>
        <v>4.8000000000000007</v>
      </c>
      <c r="AN13" s="875">
        <f>IF(ISNUMBER('Resol  Asuntos'!D13/NºAsuntos!G13),'Resol  Asuntos'!D13/NºAsuntos!G13," - ")</f>
        <v>0.375</v>
      </c>
      <c r="AO13" s="876">
        <f>IF(ISNUMBER((NºAsuntos!C13+NºAsuntos!E13)/NºAsuntos!G13),(NºAsuntos!C13+NºAsuntos!E13)/NºAsuntos!G13," - ")</f>
        <v>2.6</v>
      </c>
      <c r="AP13" s="877" t="str">
        <f t="shared" si="2"/>
        <v xml:space="preserve"> - </v>
      </c>
      <c r="AQ13" s="877" t="str">
        <f>IF(ISNUMBER((H13-W13+K13)/(F13)),(H13-W13+K13)/(F13)," - ")</f>
        <v xml:space="preserve"> - </v>
      </c>
      <c r="AR13" s="878">
        <f>IF(ISNUMBER((Datos!P13-Datos!Q13)/(Datos!R13-Datos!P13+Datos!Q13)),(Datos!P13-Datos!Q13)/(Datos!R13-Datos!P13+Datos!Q13)," - ")</f>
        <v>5.8620689655172413E-2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82</v>
      </c>
      <c r="G16" s="333">
        <f>IF(ISNUMBER(IF(D_I="SI",Datos!I16,Datos!I16+Datos!AC16)),IF(D_I="SI",Datos!I16,Datos!I16+Datos!AC16)," - ")</f>
        <v>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v>
      </c>
      <c r="X16" s="226">
        <f>IF(ISNUMBER(Datos!Q16),Datos!Q16," - ")</f>
        <v>2</v>
      </c>
      <c r="Y16" s="334">
        <f t="shared" ref="Y16:Y17" si="7">SUM(W16:X16)</f>
        <v>51</v>
      </c>
      <c r="Z16" s="335" t="str">
        <f>IF(ISNUMBER(Datos!CC16),Datos!CC16," - ")</f>
        <v xml:space="preserve"> - </v>
      </c>
      <c r="AA16" s="332">
        <f>IF(ISNUMBER(IF(D_I="SI",Datos!L16,Datos!L16+Datos!AF16)),IF(D_I="SI",Datos!L16,Datos!L16+Datos!AF16)," - ")</f>
        <v>93</v>
      </c>
      <c r="AB16" s="334">
        <f>IF(ISNUMBER(Datos!R16),Datos!R16," - ")</f>
        <v>11</v>
      </c>
      <c r="AC16" s="334">
        <f t="shared" si="6"/>
        <v>104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0.81666666666666665</v>
      </c>
      <c r="AM16" s="260">
        <f>IF(ISNUMBER(((NºAsuntos!I16/NºAsuntos!G16)*11)/factor_trimestre),((NºAsuntos!I16/NºAsuntos!G16)*11)/factor_trimestre," - ")</f>
        <v>5.6938775510204085</v>
      </c>
      <c r="AN16" s="244">
        <f>IF(ISNUMBER('Resol  Asuntos'!D16/NºAsuntos!G16),'Resol  Asuntos'!D16/NºAsuntos!G16," - ")</f>
        <v>0.12244897959183673</v>
      </c>
      <c r="AO16" s="245">
        <f>IF(ISNUMBER((NºAsuntos!C16+NºAsuntos!E16)/NºAsuntos!G16),(NºAsuntos!C16+NºAsuntos!E16)/NºAsuntos!G16," - ")</f>
        <v>2.8775510204081631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3</v>
      </c>
      <c r="AN17" s="244">
        <f>IF(ISNUMBER('Resol  Asuntos'!D17/NºAsuntos!G17),'Resol  Asuntos'!D17/NºAsuntos!G17," - ")</f>
        <v>0</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82</v>
      </c>
      <c r="G18" s="866">
        <f>SUBTOTAL(9,G15:G17)</f>
        <v>84</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v>
      </c>
      <c r="X18" s="867">
        <f t="shared" si="11"/>
        <v>2</v>
      </c>
      <c r="Y18" s="868">
        <f t="shared" si="11"/>
        <v>55</v>
      </c>
      <c r="Z18" s="868">
        <f t="shared" si="11"/>
        <v>0</v>
      </c>
      <c r="AA18" s="868">
        <f t="shared" si="11"/>
        <v>97</v>
      </c>
      <c r="AB18" s="868">
        <f t="shared" si="11"/>
        <v>11</v>
      </c>
      <c r="AC18" s="868">
        <f t="shared" si="11"/>
        <v>108</v>
      </c>
      <c r="AD18" s="868">
        <f t="shared" si="11"/>
        <v>0</v>
      </c>
      <c r="AE18" s="872">
        <f t="shared" si="11"/>
        <v>0</v>
      </c>
      <c r="AF18" s="865">
        <f t="shared" si="11"/>
        <v>0</v>
      </c>
      <c r="AG18" s="873">
        <f t="shared" si="11"/>
        <v>0</v>
      </c>
      <c r="AH18" s="870">
        <f t="shared" si="11"/>
        <v>0</v>
      </c>
      <c r="AI18" s="865">
        <f t="shared" si="11"/>
        <v>6</v>
      </c>
      <c r="AJ18" s="867">
        <f t="shared" si="11"/>
        <v>0</v>
      </c>
      <c r="AK18" s="870">
        <f t="shared" si="11"/>
        <v>0</v>
      </c>
      <c r="AL18" s="874">
        <f>IF(ISNUMBER(NºAsuntos!G18/NºAsuntos!E18),NºAsuntos!G18/NºAsuntos!E18," - ")</f>
        <v>0.81538461538461537</v>
      </c>
      <c r="AM18" s="874">
        <f>IF(ISNUMBER(((NºAsuntos!I18/NºAsuntos!G18)*11)/factor_trimestre),((NºAsuntos!I18/NºAsuntos!G18)*11)/factor_trimestre," - ")</f>
        <v>5.4905660377358494</v>
      </c>
      <c r="AN18" s="875">
        <f>IF(ISNUMBER('Resol  Asuntos'!D18/NºAsuntos!G18),'Resol  Asuntos'!D18/NºAsuntos!G18," - ")</f>
        <v>0.11320754716981132</v>
      </c>
      <c r="AO18" s="876">
        <f>IF(ISNUMBER((NºAsuntos!C18+NºAsuntos!E18)/NºAsuntos!G18),(NºAsuntos!C18+NºAsuntos!E18)/NºAsuntos!G18," - ")</f>
        <v>2.8113207547169812</v>
      </c>
      <c r="AP18" s="877" t="str">
        <f t="shared" si="2"/>
        <v xml:space="preserve"> - </v>
      </c>
      <c r="AQ18" s="877">
        <f>IF(ISNUMBER((H18-W18+K18)/(F18)),(H18-W18+K18)/(F18)," - ")</f>
        <v>-0.64634146341463417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82</v>
      </c>
      <c r="G19" s="821">
        <f t="shared" si="13"/>
        <v>84</v>
      </c>
      <c r="H19" s="820">
        <f t="shared" si="13"/>
        <v>0</v>
      </c>
      <c r="I19" s="822">
        <f t="shared" si="13"/>
        <v>0</v>
      </c>
      <c r="J19" s="822">
        <f t="shared" si="13"/>
        <v>0</v>
      </c>
      <c r="K19" s="881">
        <f t="shared" si="13"/>
        <v>0</v>
      </c>
      <c r="L19" s="822">
        <f t="shared" si="13"/>
        <v>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v>
      </c>
      <c r="X19" s="821">
        <f t="shared" si="14"/>
        <v>6</v>
      </c>
      <c r="Y19" s="828">
        <f t="shared" si="14"/>
        <v>59</v>
      </c>
      <c r="Z19" s="828">
        <f t="shared" si="14"/>
        <v>0</v>
      </c>
      <c r="AA19" s="828">
        <f t="shared" si="14"/>
        <v>97</v>
      </c>
      <c r="AB19" s="828">
        <f t="shared" si="14"/>
        <v>318</v>
      </c>
      <c r="AC19" s="828">
        <f t="shared" si="14"/>
        <v>108</v>
      </c>
      <c r="AD19" s="828">
        <f t="shared" si="14"/>
        <v>0</v>
      </c>
      <c r="AE19" s="830">
        <f t="shared" si="14"/>
        <v>0</v>
      </c>
      <c r="AF19" s="831">
        <f t="shared" si="14"/>
        <v>0</v>
      </c>
      <c r="AG19" s="832">
        <f t="shared" si="14"/>
        <v>0</v>
      </c>
      <c r="AH19" s="830">
        <f t="shared" si="14"/>
        <v>0</v>
      </c>
      <c r="AI19" s="820">
        <f t="shared" si="14"/>
        <v>36</v>
      </c>
      <c r="AJ19" s="820">
        <f t="shared" si="14"/>
        <v>0</v>
      </c>
      <c r="AK19" s="830">
        <f t="shared" si="14"/>
        <v>0</v>
      </c>
      <c r="AL19" s="884">
        <f>IF(ISNUMBER(NºAsuntos!G19/NºAsuntos!E19),NºAsuntos!G19/NºAsuntos!E19," - ")</f>
        <v>0.86928104575163401</v>
      </c>
      <c r="AM19" s="885">
        <f>IF(ISNUMBER(((NºAsuntos!I19/NºAsuntos!G19)*11)/factor_trimestre),((NºAsuntos!I19/NºAsuntos!G19)*11)/factor_trimestre," - ")</f>
        <v>5.0751879699248121</v>
      </c>
      <c r="AN19" s="885">
        <f>IF(ISNUMBER('Resol  Asuntos'!D19/NºAsuntos!G19),'Resol  Asuntos'!D19/NºAsuntos!G19," - ")</f>
        <v>0.27067669172932329</v>
      </c>
      <c r="AO19" s="886">
        <f>IF(ISNUMBER((NºAsuntos!C19+NºAsuntos!E19)/NºAsuntos!G19),(NºAsuntos!C19+NºAsuntos!E19)/NºAsuntos!G19," - ")</f>
        <v>2.6842105263157894</v>
      </c>
      <c r="AP19" s="887" t="str">
        <f t="shared" si="2"/>
        <v xml:space="preserve"> - </v>
      </c>
      <c r="AQ19" s="888">
        <f>IF(OR(ISNUMBER(FIND("01",Criterios!A8,1)),ISNUMBER(FIND("02",Criterios!A8,1)),ISNUMBER(FIND("03",Criterios!A8,1)),ISNUMBER(FIND("04",Criterios!A8,1))),(I19-W19+K19)/(F19-K19),(H19-W19+K19)/(F19-K19))</f>
        <v>-0.64634146341463417</v>
      </c>
      <c r="AR19" s="889">
        <f>IF(ISNUMBER((Datos!P19-Datos!Q19)/(Datos!R19-Datos!P19+Datos!Q19)),(Datos!P19-Datos!Q19)/(Datos!R19-Datos!P19+Datos!Q19)," - ")</f>
        <v>5.647840531561462E-2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47.342722073549311</v>
      </c>
      <c r="G21" s="253">
        <f>IF(ISNUMBER(STDEV(G8:G18)),STDEV(G8:G18),"-")</f>
        <v>44.668781044483403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27.289191999764302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14.198591479439079</v>
      </c>
      <c r="AJ21" s="252">
        <f t="shared" si="18"/>
        <v>0</v>
      </c>
      <c r="AK21" s="254">
        <f t="shared" si="18"/>
        <v>0</v>
      </c>
      <c r="AL21" s="249">
        <f t="shared" si="18"/>
        <v>5.4297320768198445E-2</v>
      </c>
      <c r="AM21" s="250">
        <f t="shared" si="18"/>
        <v>1.061438365545406</v>
      </c>
      <c r="AN21" s="250">
        <f t="shared" si="18"/>
        <v>0.16937823324568599</v>
      </c>
      <c r="AO21" s="251">
        <f t="shared" si="18"/>
        <v>0.34612899829073729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4jInon2z27wh3XFoBgdZZn4t+xrH9DmUNuPYDvv0Mkp15ZZyQu1FPwAZeRd4m1I9J5yz2t8IPA90Kn8VBIuvA==" saltValue="Fx3Fyzm3xFLppqln91Vk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SAHAGUN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2.3333333333333335</v>
      </c>
      <c r="I12" s="350">
        <f>IF(ISNUMBER((Tasas!C12-Datos!BE12)/Datos!BE12),(Tasas!C12-Datos!BE12)/Datos!BE12," - ")</f>
        <v>-7.5862068965517129E-2</v>
      </c>
      <c r="J12" s="349">
        <f>IF(ISNUMBER((Tasas!D12-Datos!BF12)/Datos!BF12),(Tasas!D12-Datos!BF12)/Datos!BF12," - ")</f>
        <v>-0.37187499999999996</v>
      </c>
      <c r="K12" s="351">
        <f>IF(ISNUMBER((Tasas!E12-Datos!BG12)/Datos!BG12),(Tasas!E12-Datos!BG12)/Datos!BG12," - ")</f>
        <v>-7.3404255319148945E-2</v>
      </c>
      <c r="M12" t="e">
        <f>IF(Monitorios="SI",Datos!CE12,0)</f>
        <v>#REF!</v>
      </c>
      <c r="N12" t="e">
        <f>IF(Monitorios="SI",Datos!CF12,0)</f>
        <v>#REF!</v>
      </c>
      <c r="O12" t="e">
        <f>IF(Monitorios="SI",Datos!CG12,0)</f>
        <v>#REF!</v>
      </c>
      <c r="P12" t="e">
        <f>IF(Monitorios="SI",Datos!CH12,0)</f>
        <v>#REF!</v>
      </c>
      <c r="Q12">
        <f>IF(J_V="SI",0,Datos!AG12)</f>
        <v>12</v>
      </c>
      <c r="R12">
        <f>IF(J_V="SI",0,Datos!AH12)</f>
        <v>3</v>
      </c>
      <c r="S12">
        <f>IF(J_V="SI",0,Datos!AI12)</f>
        <v>11</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2.3333333333333335</v>
      </c>
      <c r="I13" s="357">
        <f>IF(ISNUMBER((Tasas!C13-Datos!BE13)/Datos!BE13),(Tasas!C13-Datos!BE13)/Datos!BE13," - ")</f>
        <v>-7.5862068965517129E-2</v>
      </c>
      <c r="J13" s="355">
        <f>IF(ISNUMBER((Tasas!D13-Datos!BF13)/Datos!BF13),(Tasas!D13-Datos!BF13)/Datos!BF13," - ")</f>
        <v>-0.37187499999999996</v>
      </c>
      <c r="K13" s="358">
        <f>IF(ISNUMBER((Tasas!E13-Datos!BG13)/Datos!BG13),(Tasas!E13-Datos!BG13)/Datos!BG13," - ")</f>
        <v>-8.3157894736842139E-2</v>
      </c>
      <c r="M13" t="e">
        <f>IF(Monitorios="SI",Datos!CE13,0)</f>
        <v>#REF!</v>
      </c>
      <c r="N13" t="e">
        <f>IF(Monitorios="SI",Datos!CF13,0)</f>
        <v>#REF!</v>
      </c>
      <c r="O13" t="e">
        <f>IF(Monitorios="SI",Datos!CG13,0)</f>
        <v>#REF!</v>
      </c>
      <c r="P13" t="e">
        <f>IF(Monitorios="SI",Datos!CH13,0)</f>
        <v>#REF!</v>
      </c>
      <c r="Q13">
        <f>IF(J_V="SI",0,Datos!AG13)</f>
        <v>12</v>
      </c>
      <c r="R13">
        <f>IF(J_V="SI",0,Datos!AH13)</f>
        <v>3</v>
      </c>
      <c r="S13">
        <f>IF(J_V="SI",0,Datos!AI13)</f>
        <v>11</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0.2857142857142857</v>
      </c>
      <c r="E16" s="348">
        <f>IF(ISNUMBER(
   IF(D_I="SI",(Datos!J16-Datos!T16)/Datos!T16,(Datos!J16+Datos!AD16-(Datos!T16+Datos!AL16))/(Datos!T16+Datos!AL16))
     ),IF(D_I="SI",(Datos!J16-Datos!T16)/Datos!T16,(Datos!J16+Datos!AD16-(Datos!T16+Datos!AL16))/(Datos!T16+Datos!AL16))," - ")</f>
        <v>0.46341463414634149</v>
      </c>
      <c r="F16" s="348">
        <f>IF(ISNUMBER(
   IF(D_I="SI",(Datos!K16-Datos!U16)/Datos!U16,(Datos!K16+Datos!AE16-(Datos!U16+Datos!AM16))/(Datos!U16+Datos!AM16))
     ),IF(D_I="SI",(Datos!K16-Datos!U16)/Datos!U16,(Datos!K16+Datos!AE16-(Datos!U16+Datos!AM16))/(Datos!U16+Datos!AM16))," - ")</f>
        <v>-0.02</v>
      </c>
      <c r="G16" s="349">
        <f>IF(ISNUMBER(
   IF(D_I="SI",(Datos!L16-Datos!V16)/Datos!V16,(Datos!L16+Datos!AF16-(Datos!V16+Datos!AN16))/(Datos!V16+Datos!AN16))
     ),IF(D_I="SI",(Datos!L16-Datos!V16)/Datos!V16,(Datos!L16+Datos!AF16-(Datos!V16+Datos!AN16))/(Datos!V16+Datos!AN16))," - ")</f>
        <v>0.60344827586206895</v>
      </c>
      <c r="H16" s="230">
        <f>IF(ISNUMBER((Datos!M16-Datos!W16)/Datos!W16),(Datos!M16-Datos!W16)/Datos!W16," - ")</f>
        <v>0</v>
      </c>
      <c r="I16" s="350">
        <f>IF(ISNUMBER((Tasas!C16-Datos!BE16)/Datos!BE16),(Tasas!C16-Datos!BE16)/Datos!BE16," - ")</f>
        <v>0.63617171006333584</v>
      </c>
      <c r="J16" s="349">
        <f>IF(ISNUMBER((Tasas!D16-Datos!BF16)/Datos!BF16),(Tasas!D16-Datos!BF16)/Datos!BF16," - ")</f>
        <v>2.0408163265306138E-2</v>
      </c>
      <c r="K16" s="351">
        <f>IF(ISNUMBER((Tasas!E16-Datos!BG16)/Datos!BG16),(Tasas!E16-Datos!BG16)/Datos!BG16," - ")</f>
        <v>0.3834379905808476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3</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0.3125</v>
      </c>
      <c r="E18" s="354">
        <f>IF(ISNUMBER(
   IF(D_I="SI",(Datos!J18-Datos!T18)/Datos!T18,(Datos!J18+Datos!AD18-(Datos!T18+Datos!AL18))/(Datos!T18+Datos!AL18))
     ),IF(D_I="SI",(Datos!J18-Datos!T18)/Datos!T18,(Datos!J18+Datos!AD18-(Datos!T18+Datos!AL18))/(Datos!T18+Datos!AL18))," - ")</f>
        <v>0.58536585365853655</v>
      </c>
      <c r="F18" s="354">
        <f>IF(ISNUMBER(
   IF(D_I="SI",(Datos!K18-Datos!U18)/Datos!U18,(Datos!K18+Datos!AE18-(Datos!U18+Datos!AM18))/(Datos!U18+Datos!AM18))
     ),IF(D_I="SI",(Datos!K18-Datos!U18)/Datos!U18,(Datos!K18+Datos!AE18-(Datos!U18+Datos!AM18))/(Datos!U18+Datos!AM18))," - ")</f>
        <v>0.06</v>
      </c>
      <c r="G18" s="355">
        <f>IF(ISNUMBER(
   IF(D_I="SI",(Datos!L18-Datos!V18)/Datos!V18,(Datos!L18+Datos!AF18-(Datos!V18+Datos!AN18))/(Datos!V18+Datos!AN18))
     ),IF(D_I="SI",(Datos!L18-Datos!V18)/Datos!V18,(Datos!L18+Datos!AF18-(Datos!V18+Datos!AN18))/(Datos!V18+Datos!AN18))," - ")</f>
        <v>0.64406779661016944</v>
      </c>
      <c r="H18" s="356">
        <f>IF(ISNUMBER((Datos!M18-Datos!W18)/Datos!W18),(Datos!M18-Datos!W18)/Datos!W18," - ")</f>
        <v>0</v>
      </c>
      <c r="I18" s="357">
        <f>IF(ISNUMBER((Tasas!C18-Datos!BE18)/Datos!BE18),(Tasas!C18-Datos!BE18)/Datos!BE18," - ")</f>
        <v>0.5510073552926128</v>
      </c>
      <c r="J18" s="355">
        <f>IF(ISNUMBER((Tasas!D18-Datos!BF18)/Datos!BF18),(Tasas!D18-Datos!BF18)/Datos!BF18," - ")</f>
        <v>-5.6603773584905606E-2</v>
      </c>
      <c r="K18" s="358">
        <f>IF(ISNUMBER((Tasas!E18-Datos!BG18)/Datos!BG18),(Tasas!E18-Datos!BG18)/Datos!BG18," - ")</f>
        <v>0.33872416891284812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6.25E-2</v>
      </c>
      <c r="E19" s="363">
        <f>IF(ISNUMBER(
   IF(J_V="SI",(Datos!J19-Datos!T19)/Datos!T19,(Datos!J19+Datos!Z19-(Datos!T19+Datos!AH19))/(Datos!T19+Datos!AH19))
     ),IF(J_V="SI",(Datos!J19-Datos!T19)/Datos!T19,(Datos!J19+Datos!Z19-(Datos!T19+Datos!AH19))/(Datos!T19+Datos!AH19))," - ")</f>
        <v>0.4854368932038835</v>
      </c>
      <c r="F19" s="363">
        <f>IF(ISNUMBER(
   IF(J_V="SI",(Datos!K19-Datos!U19)/Datos!U19,(Datos!K19+Datos!AA19-(Datos!U19+Datos!AI19))/(Datos!U19+Datos!AI19))
     ),IF(J_V="SI",(Datos!K19-Datos!U19)/Datos!U19,(Datos!K19+Datos!AA19-(Datos!U19+Datos!AI19))/(Datos!U19+Datos!AI19))," - ")</f>
        <v>0.13675213675213677</v>
      </c>
      <c r="G19" s="364">
        <f>IF(ISNUMBER(
   IF(J_V="SI",(Datos!L19-Datos!V19)/Datos!V19,(Datos!L19+Datos!AB19-(Datos!V19+Datos!AJ19))/(Datos!V19+Datos!AJ19))
     ),IF(J_V="SI",(Datos!L19-Datos!V19)/Datos!V19,(Datos!L19+Datos!AB19-(Datos!V19+Datos!AJ19))/(Datos!V19+Datos!AJ19))," - ")</f>
        <v>0.2857142857142857</v>
      </c>
      <c r="H19" s="365">
        <f>IF(ISNUMBER((Datos!M19-Datos!W19)/Datos!W19),(Datos!M19-Datos!W19)/Datos!W19," - ")</f>
        <v>1.4</v>
      </c>
      <c r="I19" s="362">
        <f>IF(ISNUMBER((Tasas!C19-Datos!BE19)/Datos!BE19),(Tasas!C19-Datos!BE19)/Datos!BE19," - ")</f>
        <v>0.13104189044038664</v>
      </c>
      <c r="J19" s="363">
        <f>IF(ISNUMBER((Tasas!D19-Datos!BF19)/Datos!BF19),(Tasas!D19-Datos!BF19)/Datos!BF19," - ")</f>
        <v>-0.31153971886237336</v>
      </c>
      <c r="K19" s="364">
        <f>IF(ISNUMBER((Tasas!E19-Datos!BG19)/Datos!BG19),(Tasas!E19-Datos!BG19)/Datos!BG19," - ")</f>
        <v>6.4585191793041924E-2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1.2302732321583307</v>
      </c>
      <c r="E21" s="278">
        <f t="shared" si="1"/>
        <v>8.6232534291041857E-2</v>
      </c>
      <c r="F21" s="278">
        <f t="shared" si="1"/>
        <v>5.656854249492381E-2</v>
      </c>
      <c r="G21" s="279">
        <f t="shared" si="1"/>
        <v>1.3720742605573237</v>
      </c>
      <c r="H21" s="285">
        <f t="shared" si="1"/>
        <v>1.3471506281091268</v>
      </c>
      <c r="I21" s="277">
        <f t="shared" si="1"/>
        <v>0.38806869263262861</v>
      </c>
      <c r="J21" s="278">
        <f t="shared" si="1"/>
        <v>0.20665891608937939</v>
      </c>
      <c r="K21" s="279">
        <f t="shared" si="1"/>
        <v>0.25435299140722883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3yJK7ywx+tU0TP7NxqZA1bCpk6EFipFx+z20LMUXonkXnPsinVosn2I5EbTQ5LnY2zs8t58Vi5Yyu2Fn1XcZg==" saltValue="IUDKErzyegZBaa5jzEtG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17.600000000000001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82</v>
      </c>
      <c r="D16" s="225">
        <f>IF(ISNUMBER(IF(D_I="SI",Datos!I16,Datos!I16+Datos!AC16)),IF(D_I="SI",Datos!I16,Datos!I16+Datos!AC16)," - ")</f>
        <v>81</v>
      </c>
      <c r="E16" s="226">
        <f>IF(ISNUMBER(IF(D_I="SI",Datos!J16,Datos!J16+Datos!AD16)),IF(D_I="SI",Datos!J16,Datos!J16+Datos!AD16)," - ")</f>
        <v>60</v>
      </c>
      <c r="F16" s="226">
        <f>IF(ISNUMBER(IF(D_I="SI",Datos!K16,Datos!K16+Datos!AE16)),IF(D_I="SI",Datos!K16,Datos!K16+Datos!AE16)," - ")</f>
        <v>49</v>
      </c>
      <c r="G16" s="1034" t="str">
        <f>IF(Datos!E16&lt;&gt;"",Datos!E16,Datos!D16)</f>
        <v>04</v>
      </c>
      <c r="H16" s="227">
        <f>IF(ISNUMBER(IF(D_I="SI",Datos!L16,Datos!L16+Datos!AF16)),IF(D_I="SI",Datos!L16,Datos!L16+Datos!AF16)," - ")</f>
        <v>93</v>
      </c>
      <c r="I16" s="1044" t="str">
        <f>IF(ISNUMBER(Datos!AS16/Datos!BM16),Datos!AS16/Datos!BM16," - ")</f>
        <v xml:space="preserve"> - </v>
      </c>
      <c r="J16" s="1045">
        <f>IF(ISNUMBER(Datos!BY16/Datos!CN16),Datos!BY16/Datos!CN16," - ")</f>
        <v>0</v>
      </c>
      <c r="K16" s="230">
        <f t="shared" si="3"/>
        <v>0.13414634146341464</v>
      </c>
      <c r="L16" s="1025">
        <f>IF(ISNUMBER(NºAsuntos!I16/NºAsuntos!G16),(NºAsuntos!I16/NºAsuntos!G16)*11," - ")</f>
        <v>20.877551020408163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5</v>
      </c>
      <c r="F17" s="226">
        <f>IF(ISNUMBER(IF(D_I="SI",Datos!K17,Datos!K17+Datos!AE17)),IF(D_I="SI",Datos!K17,Datos!K17+Datos!AE17)," - ")</f>
        <v>4</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85</v>
      </c>
      <c r="D18" s="1049">
        <f>SUBTOTAL(9,D15:D17)</f>
        <v>84</v>
      </c>
      <c r="E18" s="1050">
        <f>SUBTOTAL(9,E15:E17)</f>
        <v>65</v>
      </c>
      <c r="F18" s="1050">
        <f>SUBTOTAL(9,F15:F17)</f>
        <v>53</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85</v>
      </c>
      <c r="D19" s="1071">
        <f>SUBTOTAL(9,D9:D18)</f>
        <v>84</v>
      </c>
      <c r="E19" s="1072">
        <f>SUBTOTAL(9,E9:E18)</f>
        <v>65</v>
      </c>
      <c r="F19" s="1072">
        <f>SUBTOTAL(9,F9:F18)</f>
        <v>53</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H2xiZB9J1JJ55miiPGqGZ1L7hR6GJ2DtC8td0OFCIPqsutcv6bQFMFSvRy4h1+lipQL6gi7lxBPEiD4XRuAVA==" saltValue="hTrfsKotMgnud0YvUWjx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fO83963yp62RzsQgNmTMMrTY09/xVyPaFSBmt6jwNSoNdjs71ZXp9zztSqUbrUVWJqeNhCC2qNX2Uq/BdQidQ==" saltValue="cVBKnO9jIYnzIWPDlcrp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2</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117</v>
      </c>
      <c r="J12" s="183">
        <v>87</v>
      </c>
      <c r="K12" s="183">
        <v>77</v>
      </c>
      <c r="L12" s="183">
        <v>127</v>
      </c>
      <c r="M12" s="183">
        <v>30</v>
      </c>
      <c r="N12" s="183">
        <v>31</v>
      </c>
      <c r="O12" s="181">
        <v>25</v>
      </c>
      <c r="P12" s="183">
        <v>21</v>
      </c>
      <c r="Q12" s="183">
        <v>4</v>
      </c>
      <c r="R12" s="183">
        <v>307</v>
      </c>
      <c r="S12" s="183">
        <v>114</v>
      </c>
      <c r="T12" s="183">
        <v>59</v>
      </c>
      <c r="U12" s="183">
        <v>56</v>
      </c>
      <c r="V12" s="183">
        <v>113</v>
      </c>
      <c r="W12" s="183">
        <v>9</v>
      </c>
      <c r="X12" s="189">
        <v>40</v>
      </c>
      <c r="Y12" s="191">
        <v>3</v>
      </c>
      <c r="Z12" s="181">
        <v>1</v>
      </c>
      <c r="AA12" s="181">
        <v>3</v>
      </c>
      <c r="AB12" s="181">
        <v>1</v>
      </c>
      <c r="AC12" s="183">
        <v>0</v>
      </c>
      <c r="AD12" s="183">
        <v>0</v>
      </c>
      <c r="AE12" s="183">
        <v>0</v>
      </c>
      <c r="AF12" s="189">
        <v>0</v>
      </c>
      <c r="AG12" s="202">
        <v>12</v>
      </c>
      <c r="AH12" s="183">
        <v>3</v>
      </c>
      <c r="AI12" s="183">
        <v>11</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126</v>
      </c>
      <c r="AZ12" s="127">
        <f t="shared" si="1"/>
        <v>62</v>
      </c>
      <c r="BA12" s="127">
        <f t="shared" si="1"/>
        <v>67</v>
      </c>
      <c r="BB12" s="127">
        <f t="shared" si="1"/>
        <v>116</v>
      </c>
      <c r="BC12" s="125">
        <f>IF(ISNUMBER(X12),X12," - ")</f>
        <v>40</v>
      </c>
      <c r="BD12" s="126">
        <f t="shared" si="2"/>
        <v>1.0806451612903225</v>
      </c>
      <c r="BE12" s="127">
        <f t="shared" si="3"/>
        <v>1.7313432835820894</v>
      </c>
      <c r="BF12" s="127">
        <f t="shared" si="4"/>
        <v>0.59701492537313428</v>
      </c>
      <c r="BG12" s="196">
        <f t="shared" si="5"/>
        <v>2.8059701492537314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117</v>
      </c>
      <c r="J13" s="184">
        <f t="shared" si="6"/>
        <v>87</v>
      </c>
      <c r="K13" s="184">
        <f t="shared" si="6"/>
        <v>77</v>
      </c>
      <c r="L13" s="184">
        <f t="shared" si="6"/>
        <v>127</v>
      </c>
      <c r="M13" s="184">
        <f t="shared" si="6"/>
        <v>30</v>
      </c>
      <c r="N13" s="184">
        <f t="shared" si="6"/>
        <v>31</v>
      </c>
      <c r="O13" s="184">
        <f t="shared" si="6"/>
        <v>25</v>
      </c>
      <c r="P13" s="184">
        <f t="shared" si="6"/>
        <v>21</v>
      </c>
      <c r="Q13" s="184">
        <f t="shared" si="6"/>
        <v>4</v>
      </c>
      <c r="R13" s="184">
        <f t="shared" si="6"/>
        <v>307</v>
      </c>
      <c r="S13" s="184">
        <f t="shared" si="6"/>
        <v>116</v>
      </c>
      <c r="T13" s="184">
        <f t="shared" si="6"/>
        <v>59</v>
      </c>
      <c r="U13" s="184">
        <f t="shared" si="6"/>
        <v>56</v>
      </c>
      <c r="V13" s="184">
        <f t="shared" si="6"/>
        <v>113</v>
      </c>
      <c r="W13" s="184">
        <f t="shared" si="6"/>
        <v>9</v>
      </c>
      <c r="X13" s="184">
        <f t="shared" si="6"/>
        <v>40</v>
      </c>
      <c r="Y13" s="184">
        <f t="shared" si="6"/>
        <v>3</v>
      </c>
      <c r="Z13" s="184">
        <f t="shared" si="6"/>
        <v>1</v>
      </c>
      <c r="AA13" s="184">
        <f t="shared" si="6"/>
        <v>3</v>
      </c>
      <c r="AB13" s="184">
        <f t="shared" si="6"/>
        <v>1</v>
      </c>
      <c r="AC13" s="184">
        <f t="shared" si="6"/>
        <v>0</v>
      </c>
      <c r="AD13" s="184">
        <f t="shared" si="6"/>
        <v>0</v>
      </c>
      <c r="AE13" s="184">
        <f t="shared" si="6"/>
        <v>0</v>
      </c>
      <c r="AF13" s="184">
        <f>SUBTOTAL(9,AF9:AF12)</f>
        <v>0</v>
      </c>
      <c r="AG13" s="184">
        <f t="shared" ref="AG13:AT13" si="7">SUBTOTAL(9,AG8:AG12)</f>
        <v>12</v>
      </c>
      <c r="AH13" s="184">
        <f t="shared" si="7"/>
        <v>3</v>
      </c>
      <c r="AI13" s="184">
        <f t="shared" si="7"/>
        <v>11</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128</v>
      </c>
      <c r="AZ13" s="184">
        <f>SUBTOTAL(9,AZ8:AZ12)</f>
        <v>62</v>
      </c>
      <c r="BA13" s="184">
        <f>SUBTOTAL(9,BA8:BA12)</f>
        <v>67</v>
      </c>
      <c r="BB13" s="184">
        <f>SUBTOTAL(9,BB8:BB12)</f>
        <v>116</v>
      </c>
      <c r="BC13" s="184">
        <f>SUBTOTAL(9,BC8:BC12)</f>
        <v>40</v>
      </c>
      <c r="BD13" s="205">
        <f>IF(ISNUMBER(BA13/AZ13),BA13/AZ13," - ")</f>
        <v>1.0806451612903225</v>
      </c>
      <c r="BE13" s="206">
        <f>IF(ISNUMBER(BB13/BA13),BB13/BA13, " - ")</f>
        <v>1.7313432835820894</v>
      </c>
      <c r="BF13" s="206">
        <f>IF(ISNUMBER(BC13/BA13),BC13/BA13, " - ")</f>
        <v>0.59701492537313428</v>
      </c>
      <c r="BG13" s="207">
        <f>IF(ISNUMBER((AY13+AZ13)/BA13),(AY13+AZ13)/BA13," - ")</f>
        <v>2.8358208955223883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81</v>
      </c>
      <c r="J16" s="183">
        <v>60</v>
      </c>
      <c r="K16" s="183">
        <v>49</v>
      </c>
      <c r="L16" s="183">
        <v>93</v>
      </c>
      <c r="M16" s="183">
        <v>6</v>
      </c>
      <c r="N16" s="183">
        <v>31</v>
      </c>
      <c r="O16" s="181">
        <v>0</v>
      </c>
      <c r="P16" s="183">
        <v>2</v>
      </c>
      <c r="Q16" s="183">
        <v>2</v>
      </c>
      <c r="R16" s="183">
        <v>11</v>
      </c>
      <c r="S16" s="183">
        <v>63</v>
      </c>
      <c r="T16" s="183">
        <v>41</v>
      </c>
      <c r="U16" s="183">
        <v>50</v>
      </c>
      <c r="V16" s="183">
        <v>58</v>
      </c>
      <c r="W16" s="183">
        <v>6</v>
      </c>
      <c r="X16" s="189">
        <v>33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63</v>
      </c>
      <c r="AZ16" s="127">
        <f t="shared" si="9"/>
        <v>41</v>
      </c>
      <c r="BA16" s="127">
        <f t="shared" si="9"/>
        <v>50</v>
      </c>
      <c r="BB16" s="127">
        <f t="shared" si="9"/>
        <v>58</v>
      </c>
      <c r="BC16" s="125">
        <f>IF(ISNUMBER(W16),W16," - ")</f>
        <v>6</v>
      </c>
      <c r="BD16" s="126">
        <f t="shared" ref="BD16" si="11">IF(ISNUMBER(BA16/AZ16),BA16/AZ16," - ")</f>
        <v>1.2195121951219512</v>
      </c>
      <c r="BE16" s="127">
        <f t="shared" ref="BE16" si="12">IF(ISNUMBER(BB16/BA16),BB16/BA16, " - ")</f>
        <v>1.1599999999999999</v>
      </c>
      <c r="BF16" s="127">
        <f t="shared" ref="BF16" si="13">IF(ISNUMBER(BC16/BA16),BC16/BA16, " - ")</f>
        <v>0.12</v>
      </c>
      <c r="BG16" s="196">
        <f t="shared" si="10"/>
        <v>2.08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5</v>
      </c>
      <c r="K17" s="183">
        <v>4</v>
      </c>
      <c r="L17" s="183">
        <v>4</v>
      </c>
      <c r="M17" s="183">
        <v>0</v>
      </c>
      <c r="N17" s="183">
        <v>5</v>
      </c>
      <c r="O17" s="183">
        <v>0</v>
      </c>
      <c r="P17" s="183">
        <v>0</v>
      </c>
      <c r="Q17" s="183">
        <v>0</v>
      </c>
      <c r="R17" s="183">
        <v>0</v>
      </c>
      <c r="S17" s="183">
        <v>1</v>
      </c>
      <c r="T17" s="183">
        <v>0</v>
      </c>
      <c r="U17" s="183">
        <v>0</v>
      </c>
      <c r="V17" s="183">
        <v>1</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0</v>
      </c>
      <c r="BA17" s="129">
        <f t="shared" si="14"/>
        <v>0</v>
      </c>
      <c r="BB17" s="129">
        <f t="shared" si="14"/>
        <v>1</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84</v>
      </c>
      <c r="J18" s="184">
        <f t="shared" si="15"/>
        <v>65</v>
      </c>
      <c r="K18" s="184">
        <f t="shared" si="15"/>
        <v>53</v>
      </c>
      <c r="L18" s="184">
        <f t="shared" si="15"/>
        <v>97</v>
      </c>
      <c r="M18" s="184">
        <f t="shared" si="15"/>
        <v>6</v>
      </c>
      <c r="N18" s="184">
        <f t="shared" si="15"/>
        <v>36</v>
      </c>
      <c r="O18" s="184">
        <f t="shared" si="15"/>
        <v>0</v>
      </c>
      <c r="P18" s="184">
        <f t="shared" si="15"/>
        <v>2</v>
      </c>
      <c r="Q18" s="184">
        <f t="shared" si="15"/>
        <v>2</v>
      </c>
      <c r="R18" s="184">
        <f t="shared" si="15"/>
        <v>11</v>
      </c>
      <c r="S18" s="184">
        <f t="shared" si="15"/>
        <v>64</v>
      </c>
      <c r="T18" s="184">
        <f t="shared" si="15"/>
        <v>41</v>
      </c>
      <c r="U18" s="184">
        <f t="shared" si="15"/>
        <v>50</v>
      </c>
      <c r="V18" s="184">
        <f t="shared" si="15"/>
        <v>59</v>
      </c>
      <c r="W18" s="184">
        <f t="shared" si="15"/>
        <v>6</v>
      </c>
      <c r="X18" s="184">
        <f t="shared" si="15"/>
        <v>33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64</v>
      </c>
      <c r="AZ18" s="184">
        <f>SUBTOTAL(9,AZ14:AZ17)</f>
        <v>41</v>
      </c>
      <c r="BA18" s="184">
        <f>SUBTOTAL(9,BA14:BA17)</f>
        <v>50</v>
      </c>
      <c r="BB18" s="184">
        <f>SUBTOTAL(9,BB14:BB17)</f>
        <v>59</v>
      </c>
      <c r="BC18" s="184">
        <f>SUBTOTAL(9,BC14:BC17)</f>
        <v>6</v>
      </c>
      <c r="BD18" s="205">
        <f>IF(ISNUMBER(BA18/AZ18),BA18/AZ18," - ")</f>
        <v>1.2195121951219512</v>
      </c>
      <c r="BE18" s="206">
        <f>IF(ISNUMBER(BB18/BA18),BB18/BA18, " - ")</f>
        <v>1.18</v>
      </c>
      <c r="BF18" s="206">
        <f>IF(ISNUMBER(BC18/BA18),BC18/BA18, " - ")</f>
        <v>0.12</v>
      </c>
      <c r="BG18" s="207">
        <f>IF(ISNUMBER((AY18+AZ18)/BA18),(AY18+AZ18)/BA18," - ")</f>
        <v>2.1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201</v>
      </c>
      <c r="J19" s="134">
        <f t="shared" si="18"/>
        <v>152</v>
      </c>
      <c r="K19" s="134">
        <f t="shared" si="18"/>
        <v>130</v>
      </c>
      <c r="L19" s="134">
        <f t="shared" si="18"/>
        <v>224</v>
      </c>
      <c r="M19" s="134">
        <f t="shared" si="18"/>
        <v>36</v>
      </c>
      <c r="N19" s="134">
        <f t="shared" si="18"/>
        <v>67</v>
      </c>
      <c r="O19" s="134">
        <f t="shared" si="18"/>
        <v>25</v>
      </c>
      <c r="P19" s="134">
        <f t="shared" si="18"/>
        <v>23</v>
      </c>
      <c r="Q19" s="134">
        <f t="shared" si="18"/>
        <v>6</v>
      </c>
      <c r="R19" s="134">
        <f t="shared" si="18"/>
        <v>318</v>
      </c>
      <c r="S19" s="134">
        <f t="shared" si="18"/>
        <v>180</v>
      </c>
      <c r="T19" s="134">
        <f t="shared" si="18"/>
        <v>100</v>
      </c>
      <c r="U19" s="134">
        <f t="shared" si="18"/>
        <v>106</v>
      </c>
      <c r="V19" s="134">
        <f t="shared" si="18"/>
        <v>172</v>
      </c>
      <c r="W19" s="134">
        <f t="shared" si="18"/>
        <v>15</v>
      </c>
      <c r="X19" s="134">
        <f t="shared" si="18"/>
        <v>73</v>
      </c>
      <c r="Y19" s="134">
        <f t="shared" si="18"/>
        <v>3</v>
      </c>
      <c r="Z19" s="134">
        <f t="shared" si="18"/>
        <v>1</v>
      </c>
      <c r="AA19" s="134">
        <f t="shared" si="18"/>
        <v>3</v>
      </c>
      <c r="AB19" s="134">
        <f t="shared" si="18"/>
        <v>1</v>
      </c>
      <c r="AC19" s="134">
        <f t="shared" si="18"/>
        <v>0</v>
      </c>
      <c r="AD19" s="134">
        <f t="shared" si="18"/>
        <v>0</v>
      </c>
      <c r="AE19" s="134">
        <f t="shared" si="18"/>
        <v>0</v>
      </c>
      <c r="AF19" s="134">
        <f t="shared" si="18"/>
        <v>0</v>
      </c>
      <c r="AG19" s="134">
        <f t="shared" si="18"/>
        <v>12</v>
      </c>
      <c r="AH19" s="134">
        <f t="shared" si="18"/>
        <v>3</v>
      </c>
      <c r="AI19" s="134">
        <f t="shared" si="18"/>
        <v>11</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192</v>
      </c>
      <c r="AZ19" s="134">
        <f>SUBTOTAL(9,AZ9:AZ18)</f>
        <v>103</v>
      </c>
      <c r="BA19" s="134">
        <f>SUBTOTAL(9,BA9:BA18)</f>
        <v>117</v>
      </c>
      <c r="BB19" s="134">
        <f>SUBTOTAL(9,BB9:BB18)</f>
        <v>175</v>
      </c>
      <c r="BC19" s="135">
        <f>SUBTOTAL(9,BC9:BC18)</f>
        <v>46</v>
      </c>
      <c r="BD19" s="213">
        <f>IF(ISNUMBER(BA19/AZ19),BA19/AZ19," - ")</f>
        <v>1.1359223300970873</v>
      </c>
      <c r="BE19" s="210">
        <f>IF(ISNUMBER(BB19/BA19),BB19/BA19, " - ")</f>
        <v>1.4957264957264957</v>
      </c>
      <c r="BF19" s="210">
        <f>IF(ISNUMBER(BC19/BA19),BC19/BA19, " - ")</f>
        <v>0.39316239316239315</v>
      </c>
      <c r="BG19" s="135">
        <f>IF(ISNUMBER((AY19+AZ19)/BA19),(AY19+AZ19)/BA19," - ")</f>
        <v>2.5213675213675213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KTzDlKuH4wkUb3fFshMU/60zuVEgSvBlblLcocWgpgXqHUdhXaJ1CEBtZju6Y5Z9YV+7m82VAuoS09x3CvFg==" saltValue="dm1FVZ8YwgcVF7gFWdn2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WkPyEoByNbT4VaGBNOm1b1ALwTtvgcbkbpZd9v/RueGlR1knd07zqZeim7dmNb/3Mpv5HFgMeGqJAjYNax7FA==" saltValue="LOxmmR/1hXjgM6A2gJLv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SAHAGUN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307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v>
      </c>
      <c r="BD12" s="229">
        <f>IF(ISNUMBER(Datos!N12),Datos!N12," - ")</f>
        <v>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0.90909090909090906</v>
      </c>
      <c r="BH12" s="260">
        <f>IF(ISNUMBER(((IF(J_V="SI",Datos!L12/Datos!K12,(Datos!L12+Datos!AB12)/(Datos!K12+Datos!AA12)))*11)/factor_trimestre),((IF(J_V="SI",Datos!L12/Datos!K12,(Datos!L12+Datos!AB12)/(Datos!K12+Datos!AA12)))*11)/factor_trimestre," - ")</f>
        <v>4.8000000000000007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5.8620689655172413E-2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v>
      </c>
      <c r="AD13" s="899">
        <f t="shared" si="1"/>
        <v>0</v>
      </c>
      <c r="AE13" s="899">
        <f t="shared" si="1"/>
        <v>0</v>
      </c>
      <c r="AF13" s="899">
        <f t="shared" si="1"/>
        <v>0</v>
      </c>
      <c r="AG13" s="899">
        <f t="shared" si="1"/>
        <v>0</v>
      </c>
      <c r="AH13" s="899">
        <f t="shared" si="1"/>
        <v>1</v>
      </c>
      <c r="AI13" s="899">
        <f t="shared" si="1"/>
        <v>0</v>
      </c>
      <c r="AJ13" s="899">
        <f t="shared" si="1"/>
        <v>0</v>
      </c>
      <c r="AK13" s="899">
        <f t="shared" si="1"/>
        <v>0</v>
      </c>
      <c r="AL13" s="899">
        <f t="shared" si="1"/>
        <v>0</v>
      </c>
      <c r="AM13" s="899">
        <f t="shared" si="1"/>
        <v>307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v>
      </c>
      <c r="BD13" s="899">
        <f t="shared" si="1"/>
        <v>31</v>
      </c>
      <c r="BE13" s="899">
        <f t="shared" si="1"/>
        <v>0</v>
      </c>
      <c r="BF13" s="899">
        <f t="shared" si="1"/>
        <v>0</v>
      </c>
      <c r="BG13" s="899">
        <f>IF(ISNUMBER(Datos!K13/Datos!J13),Datos!K13/Datos!J13," - ")</f>
        <v>0.88505747126436785</v>
      </c>
      <c r="BH13" s="903">
        <f>IF(ISNUMBER(((Datos!L13/Datos!K13)*11)/factor_trimestre),((Datos!L13/Datos!K13)*11)/factor_trimestre," - ")</f>
        <v>4.9480519480519485</v>
      </c>
      <c r="BI13" s="899">
        <f>IF(ISNUMBER('Resol  Asuntos'!D13/NºAsuntos!G13),'Resol  Asuntos'!D13/NºAsuntos!G13," - ")</f>
        <v>0.375</v>
      </c>
      <c r="BJ13" s="899" t="str">
        <f>IF(ISNUMBER(Datos!CI13/Datos!CJ13),Datos!CI13/Datos!CJ13," - ")</f>
        <v xml:space="preserve"> - </v>
      </c>
      <c r="BK13" s="899">
        <f>SUBTOTAL(9,BK8:BK12)</f>
        <v>0</v>
      </c>
      <c r="BL13" s="899" t="str">
        <f>IF(ISNUMBER((I13-AB13+L13)/(F13)),(I13-AB13+L13)/(F13)," - ")</f>
        <v xml:space="preserve"> - </v>
      </c>
      <c r="BM13" s="904">
        <f>SUBTOTAL(9,BM9:BM12)</f>
        <v>5.8620689655172413E-2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82</v>
      </c>
      <c r="G16" s="598">
        <f>IF(ISNUMBER(IF(D_I="SI",Datos!I16,Datos!I16+Datos!AC16)),IF(D_I="SI",Datos!I16,Datos!I16+Datos!AC16)," - ")</f>
        <v>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v>
      </c>
      <c r="AC16" s="226">
        <f>IF(ISNUMBER(Datos!Q16),Datos!Q16," - ")</f>
        <v>2</v>
      </c>
      <c r="AD16" s="334"/>
      <c r="AE16" s="484"/>
      <c r="AF16" s="596">
        <f>IF(ISNUMBER(IF(D_I="SI",Datos!L16,Datos!L16+Datos!AF16)),IF(D_I="SI",Datos!L16,Datos!L16+Datos!AF16)," - ")</f>
        <v>93</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0.81666666666666665</v>
      </c>
      <c r="BH16" s="260">
        <f>IF(ISNUMBER(((IF(D_I="SI",Datos!L16/Datos!K16,(Datos!L16+Datos!AF16)/(Datos!K16+Datos!AE16)))*11)/factor_trimestre),((IF(D_I="SI",Datos!L16/Datos!K16,(Datos!L16+Datos!AF16)/(Datos!K16+Datos!AE16)))*11)/factor_trimestre," - ")</f>
        <v>5.6938775510204085</v>
      </c>
      <c r="BI16" s="243">
        <f>IF(ISNUMBER('Resol  Asuntos'!D16/NºAsuntos!G16),'Resol  Asuntos'!D16/NºAsuntos!G16," - ")</f>
        <v>0.12244897959183673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82</v>
      </c>
      <c r="G18" s="898">
        <f>SUBTOTAL(9,G15:G17)</f>
        <v>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v>
      </c>
      <c r="AC18" s="899">
        <f t="shared" si="4"/>
        <v>2</v>
      </c>
      <c r="AD18" s="899">
        <f t="shared" si="4"/>
        <v>0</v>
      </c>
      <c r="AE18" s="899">
        <f t="shared" si="4"/>
        <v>0</v>
      </c>
      <c r="AF18" s="899">
        <f t="shared" si="4"/>
        <v>97</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v>
      </c>
      <c r="BD18" s="899">
        <f t="shared" si="4"/>
        <v>36</v>
      </c>
      <c r="BE18" s="899">
        <f t="shared" si="4"/>
        <v>0</v>
      </c>
      <c r="BF18" s="899">
        <f t="shared" si="4"/>
        <v>0</v>
      </c>
      <c r="BG18" s="899">
        <f>IF(ISNUMBER(Datos!K18/Datos!J18),Datos!K18/Datos!J18," - ")</f>
        <v>0.81538461538461537</v>
      </c>
      <c r="BH18" s="903">
        <f>IF(ISNUMBER(((Datos!L18/Datos!K18)*11)/factor_trimestre),((Datos!L18/Datos!K18)*11)/factor_trimestre," - ")</f>
        <v>5.4905660377358494</v>
      </c>
      <c r="BI18" s="899">
        <f>SUBTOTAL(9,BI15:BI17)</f>
        <v>0.12244897959183673</v>
      </c>
      <c r="BJ18" s="899">
        <f>SUBTOTAL(9,BJ15:BJ17)</f>
        <v>0</v>
      </c>
      <c r="BK18" s="899">
        <f>SUBTOTAL(9,BK15:BK17)</f>
        <v>0</v>
      </c>
      <c r="BL18" s="899">
        <f>IF(ISNUMBER((I18-AB18+L18)/(F18)),(I18-AB18+L18)/(F18)," - ")</f>
        <v>-0.64634146341463417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82</v>
      </c>
      <c r="G19" s="820">
        <f t="shared" si="6"/>
        <v>84</v>
      </c>
      <c r="H19" s="822">
        <f t="shared" si="6"/>
        <v>0</v>
      </c>
      <c r="I19" s="820">
        <f t="shared" si="6"/>
        <v>0</v>
      </c>
      <c r="J19" s="822">
        <f t="shared" si="6"/>
        <v>0</v>
      </c>
      <c r="K19" s="822">
        <f t="shared" si="6"/>
        <v>0</v>
      </c>
      <c r="L19" s="881">
        <f t="shared" si="6"/>
        <v>0</v>
      </c>
      <c r="M19" s="881">
        <f t="shared" si="6"/>
        <v>0</v>
      </c>
      <c r="N19" s="881">
        <f t="shared" si="6"/>
        <v>1</v>
      </c>
      <c r="O19" s="881">
        <f t="shared" si="6"/>
        <v>0</v>
      </c>
      <c r="P19" s="881">
        <f t="shared" si="6"/>
        <v>0</v>
      </c>
      <c r="Q19" s="822">
        <f t="shared" si="6"/>
        <v>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v>
      </c>
      <c r="AC19" s="821">
        <f t="shared" si="7"/>
        <v>6</v>
      </c>
      <c r="AD19" s="821">
        <f t="shared" si="7"/>
        <v>0</v>
      </c>
      <c r="AE19" s="821">
        <f t="shared" si="7"/>
        <v>0</v>
      </c>
      <c r="AF19" s="828">
        <f t="shared" si="7"/>
        <v>97</v>
      </c>
      <c r="AG19" s="828">
        <f t="shared" si="7"/>
        <v>0</v>
      </c>
      <c r="AH19" s="828">
        <f t="shared" si="7"/>
        <v>1</v>
      </c>
      <c r="AI19" s="828">
        <f t="shared" si="7"/>
        <v>0</v>
      </c>
      <c r="AJ19" s="821">
        <f t="shared" si="7"/>
        <v>0</v>
      </c>
      <c r="AK19" s="828">
        <f t="shared" si="7"/>
        <v>0</v>
      </c>
      <c r="AL19" s="828">
        <f t="shared" si="7"/>
        <v>0</v>
      </c>
      <c r="AM19" s="828">
        <f t="shared" si="7"/>
        <v>318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v>
      </c>
      <c r="BD19" s="820">
        <f t="shared" si="7"/>
        <v>67</v>
      </c>
      <c r="BE19" s="820">
        <f t="shared" si="7"/>
        <v>0</v>
      </c>
      <c r="BF19" s="830">
        <f t="shared" si="7"/>
        <v>0</v>
      </c>
      <c r="BG19" s="915">
        <f>IF(ISNUMBER(Datos!K19/Datos!J19),Datos!K19/Datos!J19," - ")</f>
        <v>0.85526315789473684</v>
      </c>
      <c r="BH19" s="915">
        <f>IF(ISNUMBER(((Datos!L19/Datos!K19)*11)/factor_trimestre),((Datos!L19/Datos!K19)*11)/factor_trimestre," - ")</f>
        <v>5.1692307692307695</v>
      </c>
      <c r="BI19" s="813">
        <f>IF(ISNUMBER(Datos!J19/Datos!I19),Datos!J19/Datos!I19," - ")</f>
        <v>0.75621890547263682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-0.64634146341463417</v>
      </c>
      <c r="BM19" s="889">
        <f>IF(ISNUMBER((Datos!P19-Datos!Q19+R19)/(Datos!R19-Datos!P19+Datos!Q19-R19)),(Datos!P19-Datos!Q19+R19)/(Datos!R19-Datos!P19+Datos!Q19-R19)," - ")</f>
        <v>5.647840531561462E-2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47.342722073549311</v>
      </c>
      <c r="G21" s="552">
        <f>IF(ISNUMBER(STDEV(G8:G18)),STDEV(G8:G18),"-")</f>
        <v>44.668781044483403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27.289191999764302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14.198591479439079</v>
      </c>
      <c r="BD21" s="551"/>
      <c r="BE21" s="551">
        <f>IF(ISNUMBER(STDEV(BE8:BE18)),STDEV(BE8:BE18),"-")</f>
        <v>0</v>
      </c>
      <c r="BF21" s="556">
        <f>IF(ISNUMBER(STDEV(BF8:BF18)),STDEV(BF8:BF18),"-")</f>
        <v>0</v>
      </c>
      <c r="BG21" s="775">
        <f>IF(ISNUMBER(STDEV(BG8:BG18)),STDEV(BG8:BG18),"-")</f>
        <v>4.8520115874531408E-2</v>
      </c>
      <c r="BH21" s="776">
        <f>IF(ISNUMBER(STDEV(BH8:BH18)),STDEV(BH8:BH18),"-")</f>
        <v>1.0650007673124258</v>
      </c>
      <c r="BI21" s="249">
        <f>IF(ISNUMBER(STDEV(BI8:BI18)),STDEV(BI8:BI18),"-")</f>
        <v>0.15763262696973965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HgRqyJEFH9vu0QJUo5W8bYcP6rqsDtRDIJd6e6wj0NoWO1BJsAOSHZMJd8r2oie9ipBb36ZYsGICLy4bluU/DQ==" saltValue="+YpEkOqAPRLXyeIk7Oai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SAHAGUN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v>
      </c>
      <c r="AA12" s="332" t="str">
        <f>IF(ISNUMBER(IF(J_V="SI",Datos!L12,Datos!L12+Datos!AB12)-IF(Monitorios="SI",Datos!CD12,0)),
                          IF(J_V="SI",Datos!L12,Datos!L12+Datos!AB12)-IF(Monitorios="SI",Datos!CD12,0),
                          " - ")</f>
        <v xml:space="preserve"> - </v>
      </c>
      <c r="AB12" s="334"/>
      <c r="AC12" s="334"/>
      <c r="AD12" s="484"/>
      <c r="AE12" s="484">
        <f>IF(ISNUMBER(Datos!R12),Datos!R12," - ")</f>
        <v>307</v>
      </c>
      <c r="AF12" s="229" t="str">
        <f>IF(ISNUMBER(Datos!BV12),Datos!BV12," - ")</f>
        <v xml:space="preserve"> - </v>
      </c>
      <c r="AG12" s="225" t="str">
        <f>IF(ISNUMBER(Datos!DV12),Datos!DV12," - ")</f>
        <v xml:space="preserve"> - </v>
      </c>
      <c r="AH12" s="298"/>
      <c r="AI12" s="227"/>
      <c r="AJ12" s="225">
        <f>IF(ISNUMBER(Datos!M12),Datos!M12," - ")</f>
        <v>30</v>
      </c>
      <c r="AK12" s="229">
        <f>IF(ISNUMBER(Datos!N12),Datos!N12," - ")</f>
        <v>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4.8000000000000007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5.8620689655172413E-2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v>
      </c>
      <c r="AA13" s="900">
        <f t="shared" si="2"/>
        <v>0</v>
      </c>
      <c r="AB13" s="900">
        <f t="shared" si="2"/>
        <v>0</v>
      </c>
      <c r="AC13" s="900">
        <f t="shared" si="2"/>
        <v>0</v>
      </c>
      <c r="AD13" s="900">
        <f t="shared" si="2"/>
        <v>0</v>
      </c>
      <c r="AE13" s="900">
        <f t="shared" si="2"/>
        <v>307</v>
      </c>
      <c r="AF13" s="908">
        <f t="shared" si="2"/>
        <v>0</v>
      </c>
      <c r="AG13" s="908">
        <f t="shared" si="2"/>
        <v>0</v>
      </c>
      <c r="AH13" s="908">
        <f t="shared" si="2"/>
        <v>0</v>
      </c>
      <c r="AI13" s="908">
        <f t="shared" si="2"/>
        <v>0</v>
      </c>
      <c r="AJ13" s="908">
        <f t="shared" si="2"/>
        <v>30</v>
      </c>
      <c r="AK13" s="908">
        <f t="shared" si="2"/>
        <v>31</v>
      </c>
      <c r="AL13" s="908">
        <f t="shared" si="2"/>
        <v>0</v>
      </c>
      <c r="AM13" s="908">
        <f t="shared" si="2"/>
        <v>0</v>
      </c>
      <c r="AN13" s="908">
        <f t="shared" si="2"/>
        <v>0</v>
      </c>
      <c r="AO13" s="904">
        <f>IF(ISNUMBER(((NºAsuntos!I13/NºAsuntos!G13)*11)/factor_trimestre),((NºAsuntos!I13/NºAsuntos!G13)*11)/factor_trimestre," - ")</f>
        <v>4.8000000000000007</v>
      </c>
      <c r="AP13" s="910" t="str">
        <f>IF(ISNUMBER(Datos!CI13/Datos!CJ13),Datos!CI13/Datos!CJ13," - ")</f>
        <v xml:space="preserve"> - </v>
      </c>
      <c r="AQ13" s="928">
        <f t="shared" ref="AQ13:AV13" si="3">SUBTOTAL(9,AQ9:AQ12)</f>
        <v>0</v>
      </c>
      <c r="AR13" s="928">
        <f t="shared" si="3"/>
        <v>5.8620689655172413E-2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82</v>
      </c>
      <c r="G16" s="225">
        <f>IF(ISNUMBER(IF(D_I="SI",Datos!I16,Datos!I16+Datos!AC16)),IF(D_I="SI",Datos!I16,Datos!I16+Datos!AC16)," - ")</f>
        <v>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v>
      </c>
      <c r="Z16" s="619">
        <f>IF(ISNUMBER(Datos!Q16),Datos!Q16," - ")</f>
        <v>2</v>
      </c>
      <c r="AA16" s="332">
        <f>IF(ISNUMBER(IF(D_I="SI",Datos!L16,Datos!L16+Datos!AF16)),IF(D_I="SI",Datos!L16,Datos!L16+Datos!AF16)," - ")</f>
        <v>93</v>
      </c>
      <c r="AB16" s="334"/>
      <c r="AC16" s="334"/>
      <c r="AD16" s="484"/>
      <c r="AE16" s="484">
        <f>IF(ISNUMBER(Datos!R16),Datos!R16," - ")</f>
        <v>11</v>
      </c>
      <c r="AF16" s="229" t="str">
        <f>IF(ISNUMBER(Datos!BV16),Datos!BV16," - ")</f>
        <v xml:space="preserve"> - </v>
      </c>
      <c r="AG16" s="225"/>
      <c r="AH16" s="298"/>
      <c r="AI16" s="227"/>
      <c r="AJ16" s="225">
        <f>IF(ISNUMBER(Datos!M16),Datos!M16," - ")</f>
        <v>6</v>
      </c>
      <c r="AK16" s="229">
        <f>IF(ISNUMBER(Datos!N16),Datos!N16," - ")</f>
        <v>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5.6938775510204085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82</v>
      </c>
      <c r="G18" s="898">
        <f>SUBTOTAL(9,G15:G17)</f>
        <v>84</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v>
      </c>
      <c r="Z18" s="932">
        <f t="shared" si="5"/>
        <v>2</v>
      </c>
      <c r="AA18" s="932">
        <f t="shared" si="5"/>
        <v>97</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6</v>
      </c>
      <c r="AK18" s="932">
        <f t="shared" si="5"/>
        <v>36</v>
      </c>
      <c r="AL18" s="932">
        <f t="shared" si="5"/>
        <v>0</v>
      </c>
      <c r="AM18" s="932">
        <f t="shared" si="5"/>
        <v>0</v>
      </c>
      <c r="AN18" s="932">
        <f t="shared" si="5"/>
        <v>0</v>
      </c>
      <c r="AO18" s="934">
        <f>IF(ISNUMBER(((NºAsuntos!I18/NºAsuntos!G18)*11)/factor_trimestre),((NºAsuntos!I18/NºAsuntos!G18)*11)/factor_trimestre," - ")</f>
        <v>5.4905660377358494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82</v>
      </c>
      <c r="G19" s="820">
        <f t="shared" si="7"/>
        <v>84</v>
      </c>
      <c r="H19" s="821">
        <f t="shared" si="7"/>
        <v>0</v>
      </c>
      <c r="I19" s="820">
        <f t="shared" si="7"/>
        <v>0</v>
      </c>
      <c r="J19" s="822">
        <f t="shared" si="7"/>
        <v>0</v>
      </c>
      <c r="K19" s="820">
        <f t="shared" si="7"/>
        <v>0</v>
      </c>
      <c r="L19" s="823">
        <f t="shared" si="7"/>
        <v>0</v>
      </c>
      <c r="M19" s="820">
        <f t="shared" si="7"/>
        <v>0</v>
      </c>
      <c r="N19" s="821">
        <f t="shared" si="7"/>
        <v>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v>
      </c>
      <c r="Z19" s="827">
        <f t="shared" si="8"/>
        <v>6</v>
      </c>
      <c r="AA19" s="828">
        <f t="shared" si="8"/>
        <v>97</v>
      </c>
      <c r="AB19" s="828">
        <f t="shared" si="8"/>
        <v>0</v>
      </c>
      <c r="AC19" s="828">
        <f t="shared" si="8"/>
        <v>0</v>
      </c>
      <c r="AD19" s="829">
        <f t="shared" si="8"/>
        <v>0</v>
      </c>
      <c r="AE19" s="829">
        <f t="shared" si="8"/>
        <v>318</v>
      </c>
      <c r="AF19" s="830">
        <f t="shared" si="8"/>
        <v>0</v>
      </c>
      <c r="AG19" s="831">
        <f t="shared" si="8"/>
        <v>0</v>
      </c>
      <c r="AH19" s="832">
        <f t="shared" si="8"/>
        <v>0</v>
      </c>
      <c r="AI19" s="830">
        <f t="shared" si="8"/>
        <v>0</v>
      </c>
      <c r="AJ19" s="820">
        <f t="shared" si="8"/>
        <v>36</v>
      </c>
      <c r="AK19" s="820">
        <f t="shared" si="8"/>
        <v>67</v>
      </c>
      <c r="AL19" s="820">
        <f t="shared" si="8"/>
        <v>0</v>
      </c>
      <c r="AM19" s="833">
        <f t="shared" si="8"/>
        <v>0</v>
      </c>
      <c r="AN19" s="823">
        <f>IF(ISNUMBER(Datos!K19/Datos!J19),Datos!K19/Datos!J19," - ")</f>
        <v>0.85526315789473684</v>
      </c>
      <c r="AO19" s="823">
        <f>IF(ISNUMBER(FIND("06",Criterios!A8,1)),(IF(ISNUMBER(((Datos!R19/Datos!Q19)*11)/factor_trimestre),((Datos!R19/Datos!Q19)*11)/factor_trimestre," - ")),(IF(ISNUMBER(((Datos!L19/Datos!K19)*11)/factor_trimestre),((Datos!L19/Datos!K19)*11)/factor_trimestre," - ")))</f>
        <v>5.1692307692307695</v>
      </c>
      <c r="AP19" s="834" t="str">
        <f>IF(ISNUMBER(Datos!CI19/Datos!CJ19),Datos!CI19/Datos!CJ19," - ")</f>
        <v xml:space="preserve"> - </v>
      </c>
      <c r="AQ19" s="834">
        <f>IF(OR(ISNUMBER(FIND("01",Criterios!A8,1)),ISNUMBER(FIND("02",Criterios!A8,1)),ISNUMBER(FIND("03",Criterios!A8,1)),ISNUMBER(FIND("04",Criterios!A8,1))),(J19-Y19+K19)/(F19-K19),(I19-Y19+K19)/(F19-K19))</f>
        <v>-0.64634146341463417</v>
      </c>
      <c r="AR19" s="834">
        <f>IF(ISNUMBER((Datos!P19-Datos!Q19+O19)/(Datos!R19-Datos!P19+Datos!Q19-O19)),(Datos!P19-Datos!Q19+O19)/(Datos!R19-Datos!P19+Datos!Q19-O19)," - ")</f>
        <v>5.647840531561462E-2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47.342722073549311</v>
      </c>
      <c r="G21" s="552">
        <f>IF(ISNUMBER(STDEV(G8:G18)),STDEV(G8:G18),"-")</f>
        <v>44.668781044483403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14.198591479439079</v>
      </c>
      <c r="AK21" s="252"/>
      <c r="AL21" s="252">
        <f>IF(ISNUMBER(STDEV(AL8:AL18)),STDEV(AL8:AL18),"-")</f>
        <v>0</v>
      </c>
      <c r="AM21" s="254">
        <f>IF(ISNUMBER(STDEV(AM8:AM18)),STDEV(AM8:AM18),"-")</f>
        <v>0</v>
      </c>
      <c r="AN21" s="539">
        <f>IF(ISNUMBER(STDEV(AN8:AN18)),STDEV(AN8:AN18),"-")</f>
        <v>0</v>
      </c>
      <c r="AO21" s="540">
        <f>IF(ISNUMBER(STDEV(AO8:AO18)),STDEV(AO8:AO18),"-")</f>
        <v>1.061438365545406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e31+puFEg+9KqprIgFSQ+5aW5ds3vi70WdS9ux8sCJ1xW9KIORWZxHZNeSmMDOLOtRgnJpRn60Xr8+iFqNPCwg==" saltValue="7KntPNxmo245+N3HMjFs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CNOLCBVq3iVULQb72n2HUP46SmzYkuzsfH8vG/hfrL6DpVmgkxFL63Qz45b352Z83nw7WYVcpcXOyfLPX+WOA==" saltValue="kmrpFsM+vx/ZF8vexZdo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XGSjGEM6UmAr2DQqUVoWd7wHd5qa7v242G7OwlSCEHWaETqCHoPPtES6a8VlN5zoXa4FbneJH2l4YqlJ+w+Pw==" saltValue="uZM3NUYgVX4Ztn9wJMQ6q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SAHAGUN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0.2651650429449553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23R9FyJjGK71oDoJ2A516bhGLuOyhAmk28xGC44ex3gC1SRhKe8/qm9GkCmPOcVKJ/umvkqiubY8Oww3JOY+Q==" saltValue="bWTgUP/09AFiJr/OG6os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1exDUIVvuI0YDWMrezkOHPbJAk+crMBVheVlLdOpGIBvI6d6+iqiLtfGcsWURuJTsvon4bdgfMAMn+388A9nQ==" saltValue="3F7/IF9WkJFN8bady9I2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SAHAGUN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v>
      </c>
      <c r="AM12" s="690">
        <f>IF(ISNUMBER(Datos!N12+DatosP!N16),Datos!N12+DatosP!N16," - ")</f>
        <v>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4.8000000000000007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5.8620689655172413E-2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v>
      </c>
      <c r="AE13" s="939">
        <f t="shared" si="1"/>
        <v>0</v>
      </c>
      <c r="AF13" s="939">
        <f t="shared" si="1"/>
        <v>0</v>
      </c>
      <c r="AG13" s="939">
        <f t="shared" si="1"/>
        <v>0</v>
      </c>
      <c r="AH13" s="939">
        <f t="shared" si="1"/>
        <v>307</v>
      </c>
      <c r="AI13" s="939">
        <f t="shared" si="1"/>
        <v>0</v>
      </c>
      <c r="AJ13" s="939">
        <f t="shared" si="1"/>
        <v>0</v>
      </c>
      <c r="AK13" s="939">
        <f t="shared" si="1"/>
        <v>0</v>
      </c>
      <c r="AL13" s="939">
        <f t="shared" si="1"/>
        <v>30</v>
      </c>
      <c r="AM13" s="939">
        <f t="shared" si="1"/>
        <v>31</v>
      </c>
      <c r="AN13" s="939">
        <f t="shared" si="1"/>
        <v>0</v>
      </c>
      <c r="AO13" s="939">
        <f t="shared" si="1"/>
        <v>0</v>
      </c>
      <c r="AP13" s="944">
        <f>IF(ISNUMBER(((Datos!L13/Datos!K13)*11)/factor_trimestre),((Datos!L13/Datos!K13)*11)/factor_trimestre," - ")</f>
        <v>4.9480519480519485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5.8620689655172413E-2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5.4905660377358494</v>
      </c>
      <c r="AQ18" s="944">
        <f>IF(ISNUMBER(((Datos!M18/Datos!L18)*11)/factor_trimestre),((Datos!M18/Datos!L18)*11)/factor_trimestre," - ")</f>
        <v>0.18556701030927836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-0.12328767123287671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v>
      </c>
      <c r="AE19" s="957">
        <f t="shared" si="5"/>
        <v>0</v>
      </c>
      <c r="AF19" s="958">
        <f t="shared" si="5"/>
        <v>0</v>
      </c>
      <c r="AG19" s="958">
        <f t="shared" si="5"/>
        <v>0</v>
      </c>
      <c r="AH19" s="958">
        <f t="shared" si="5"/>
        <v>307</v>
      </c>
      <c r="AI19" s="958">
        <f t="shared" si="5"/>
        <v>0</v>
      </c>
      <c r="AJ19" s="959">
        <f t="shared" si="5"/>
        <v>0</v>
      </c>
      <c r="AK19" s="959">
        <f t="shared" si="5"/>
        <v>0</v>
      </c>
      <c r="AL19" s="951">
        <f t="shared" si="5"/>
        <v>30</v>
      </c>
      <c r="AM19" s="951">
        <f t="shared" si="5"/>
        <v>31</v>
      </c>
      <c r="AN19" s="951">
        <f t="shared" si="5"/>
        <v>0</v>
      </c>
      <c r="AO19" s="951">
        <f t="shared" si="5"/>
        <v>0</v>
      </c>
      <c r="AP19" s="951">
        <f>IF(ISNUMBER(((Datos!L19/Datos!K19)*11)/factor_trimestre),((Datos!L19/Datos!K19)*11)/factor_trimestre," - ")</f>
        <v>5.1692307692307695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5.647840531561462E-2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0.36357538633725789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BR4QAKucdhPTqNCI4uwVcRBXlQnU0GqzSsrKfXrBuqnTp43qimq8OWonN7htljF2W1Qp5UAfnbYY2PE8sr62g==" saltValue="edmNGbj2dlRpczCrrziiN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